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trlProps/ctrlProp4.xml" ContentType="application/vnd.ms-excel.contro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autoCompressPictures="0"/>
  <mc:AlternateContent xmlns:mc="http://schemas.openxmlformats.org/markup-compatibility/2006">
    <mc:Choice Requires="x15">
      <x15ac:absPath xmlns:x15ac="http://schemas.microsoft.com/office/spreadsheetml/2010/11/ac" url="Y:\05 - Statistik\1.Daten\06 INDUSTRIE, DIENSTLEISTUNGEN\Aussenhandelsstatistik\Neue Methodik ab 2020\"/>
    </mc:Choice>
  </mc:AlternateContent>
  <xr:revisionPtr revIDLastSave="0" documentId="13_ncr:1_{647C9ACE-D01B-4686-BA70-C04ACB8AA982}" xr6:coauthVersionLast="47" xr6:coauthVersionMax="47" xr10:uidLastSave="{00000000-0000-0000-0000-000000000000}"/>
  <workbookProtection lockStructure="1"/>
  <bookViews>
    <workbookView xWindow="25695" yWindow="0" windowWidth="26010" windowHeight="20985" xr2:uid="{00000000-000D-0000-FFFF-FFFF00000000}"/>
  </bookViews>
  <sheets>
    <sheet name="Exporte GR Warengruppen" sheetId="34" r:id="rId1"/>
    <sheet name="Importe GR Warengruppen" sheetId="39" r:id="rId2"/>
    <sheet name="Uebersetzungen" sheetId="1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39" l="1"/>
  <c r="A129" i="39"/>
  <c r="A128" i="39"/>
  <c r="A126" i="39"/>
  <c r="A125" i="39"/>
  <c r="B123" i="39"/>
  <c r="A123" i="39"/>
  <c r="B122" i="39"/>
  <c r="A122" i="39"/>
  <c r="B121" i="39"/>
  <c r="A121" i="39"/>
  <c r="B120" i="39"/>
  <c r="A120" i="39"/>
  <c r="B119" i="39"/>
  <c r="A119" i="39"/>
  <c r="B118" i="39"/>
  <c r="A118" i="39"/>
  <c r="B117" i="39"/>
  <c r="A117" i="39"/>
  <c r="B116" i="39"/>
  <c r="A116" i="39"/>
  <c r="B115" i="39"/>
  <c r="A115" i="39"/>
  <c r="B114" i="39"/>
  <c r="A114" i="39"/>
  <c r="B113" i="39"/>
  <c r="A113" i="39"/>
  <c r="B112" i="39"/>
  <c r="A112" i="39"/>
  <c r="B111" i="39"/>
  <c r="A111" i="39"/>
  <c r="B110" i="39"/>
  <c r="A110" i="39"/>
  <c r="B109" i="39"/>
  <c r="A109" i="39"/>
  <c r="B108" i="39"/>
  <c r="A108" i="39"/>
  <c r="B107" i="39"/>
  <c r="A107" i="39"/>
  <c r="B106" i="39"/>
  <c r="A106" i="39"/>
  <c r="B105" i="39"/>
  <c r="A105" i="39"/>
  <c r="B104" i="39"/>
  <c r="A104" i="39"/>
  <c r="B103" i="39"/>
  <c r="A103" i="39"/>
  <c r="B102" i="39"/>
  <c r="A102" i="39"/>
  <c r="B101" i="39"/>
  <c r="A101" i="39"/>
  <c r="B100" i="39"/>
  <c r="A100" i="39"/>
  <c r="B99" i="39"/>
  <c r="A99" i="39"/>
  <c r="B98" i="39"/>
  <c r="A98" i="39"/>
  <c r="B97" i="39"/>
  <c r="A97" i="39"/>
  <c r="B96" i="39"/>
  <c r="A96" i="39"/>
  <c r="B95" i="39"/>
  <c r="A95" i="39"/>
  <c r="B94" i="39"/>
  <c r="A94" i="39"/>
  <c r="B93" i="39"/>
  <c r="A93" i="39"/>
  <c r="B92" i="39"/>
  <c r="A92" i="39"/>
  <c r="B91" i="39"/>
  <c r="A91" i="39"/>
  <c r="B90" i="39"/>
  <c r="A90" i="39"/>
  <c r="B89" i="39"/>
  <c r="A89" i="39"/>
  <c r="B88" i="39"/>
  <c r="A88" i="39"/>
  <c r="B87" i="39"/>
  <c r="A87" i="39"/>
  <c r="B86" i="39"/>
  <c r="A86" i="39"/>
  <c r="B85" i="39"/>
  <c r="A85" i="39"/>
  <c r="B84" i="39"/>
  <c r="A84" i="39"/>
  <c r="B83" i="39"/>
  <c r="A83" i="39"/>
  <c r="B82" i="39"/>
  <c r="A82" i="39"/>
  <c r="B81" i="39"/>
  <c r="A81" i="39"/>
  <c r="B80" i="39"/>
  <c r="A80" i="39"/>
  <c r="B79" i="39"/>
  <c r="A79" i="39"/>
  <c r="B78" i="39"/>
  <c r="A78" i="39"/>
  <c r="B77" i="39"/>
  <c r="A77" i="39"/>
  <c r="B76" i="39"/>
  <c r="A76" i="39"/>
  <c r="B75" i="39"/>
  <c r="A75" i="39"/>
  <c r="B74" i="39"/>
  <c r="A74" i="39"/>
  <c r="B73" i="39"/>
  <c r="A73" i="39"/>
  <c r="B72" i="39"/>
  <c r="A72" i="39"/>
  <c r="B71" i="39"/>
  <c r="A71" i="39"/>
  <c r="B70" i="39"/>
  <c r="A70" i="39"/>
  <c r="B69" i="39"/>
  <c r="A69" i="39"/>
  <c r="B68" i="39"/>
  <c r="A68" i="39"/>
  <c r="B67" i="39"/>
  <c r="A67" i="39"/>
  <c r="B66" i="39"/>
  <c r="A66" i="39"/>
  <c r="B65" i="39"/>
  <c r="A65" i="39"/>
  <c r="B64" i="39"/>
  <c r="A64" i="39"/>
  <c r="B63" i="39"/>
  <c r="A63" i="39"/>
  <c r="B62" i="39"/>
  <c r="A62" i="39"/>
  <c r="B61" i="39"/>
  <c r="A61" i="39"/>
  <c r="B60" i="39"/>
  <c r="A60" i="39"/>
  <c r="B59" i="39"/>
  <c r="A59" i="39"/>
  <c r="B58" i="39"/>
  <c r="A58" i="39"/>
  <c r="B57" i="39"/>
  <c r="A57" i="39"/>
  <c r="B56" i="39"/>
  <c r="A56" i="39"/>
  <c r="B55" i="39"/>
  <c r="A55" i="39"/>
  <c r="B54" i="39"/>
  <c r="A54" i="39"/>
  <c r="B53" i="39"/>
  <c r="A53" i="39"/>
  <c r="B52" i="39"/>
  <c r="A52" i="39"/>
  <c r="B51" i="39"/>
  <c r="A51" i="39"/>
  <c r="B50" i="39"/>
  <c r="A50" i="39"/>
  <c r="B49" i="39"/>
  <c r="A49" i="39"/>
  <c r="B48" i="39"/>
  <c r="A48" i="39"/>
  <c r="B47" i="39"/>
  <c r="A47" i="39"/>
  <c r="B46" i="39"/>
  <c r="A46" i="39"/>
  <c r="B45" i="39"/>
  <c r="A45" i="39"/>
  <c r="B44" i="39"/>
  <c r="A44" i="39"/>
  <c r="B43" i="39"/>
  <c r="A43" i="39"/>
  <c r="B42" i="39"/>
  <c r="A42" i="39"/>
  <c r="B41" i="39"/>
  <c r="A41" i="39"/>
  <c r="B40" i="39"/>
  <c r="A40" i="39"/>
  <c r="B39" i="39"/>
  <c r="A39" i="39"/>
  <c r="B38" i="39"/>
  <c r="A38" i="39"/>
  <c r="B37" i="39"/>
  <c r="A37" i="39"/>
  <c r="B36" i="39"/>
  <c r="A36" i="39"/>
  <c r="B35" i="39"/>
  <c r="A35" i="39"/>
  <c r="B34" i="39"/>
  <c r="A34" i="39"/>
  <c r="B33" i="39"/>
  <c r="A33" i="39"/>
  <c r="B32" i="39"/>
  <c r="A32" i="39"/>
  <c r="B31" i="39"/>
  <c r="A31" i="39"/>
  <c r="B30" i="39"/>
  <c r="A30" i="39"/>
  <c r="B29" i="39"/>
  <c r="A29" i="39"/>
  <c r="B28" i="39"/>
  <c r="A28" i="39"/>
  <c r="B27" i="39"/>
  <c r="A27" i="39"/>
  <c r="B26" i="39"/>
  <c r="A26" i="39"/>
  <c r="B25" i="39"/>
  <c r="A25" i="39"/>
  <c r="B24" i="39"/>
  <c r="A24" i="39"/>
  <c r="B23" i="39"/>
  <c r="A23" i="39"/>
  <c r="B22" i="39"/>
  <c r="A22" i="39"/>
  <c r="B21" i="39"/>
  <c r="A21" i="39"/>
  <c r="B20" i="39"/>
  <c r="A20" i="39"/>
  <c r="B19" i="39"/>
  <c r="A19" i="39"/>
  <c r="B18" i="39"/>
  <c r="A18" i="39"/>
  <c r="B17" i="39"/>
  <c r="A17" i="39"/>
  <c r="B16" i="39"/>
  <c r="A16" i="39"/>
  <c r="B15" i="39"/>
  <c r="A15" i="39"/>
  <c r="B14" i="39"/>
  <c r="A14" i="39"/>
  <c r="B13" i="39"/>
  <c r="A13" i="39"/>
  <c r="N12" i="39"/>
  <c r="D12" i="39"/>
  <c r="A7" i="39"/>
  <c r="A129" i="34"/>
  <c r="A128" i="34"/>
  <c r="A126" i="34"/>
  <c r="A125" i="34"/>
  <c r="B123" i="34"/>
  <c r="B122" i="34"/>
  <c r="B121" i="34"/>
  <c r="B120" i="34"/>
  <c r="B119" i="34"/>
  <c r="B118" i="34"/>
  <c r="B117" i="34"/>
  <c r="B116" i="34"/>
  <c r="B115" i="34"/>
  <c r="B114" i="34"/>
  <c r="B113" i="34"/>
  <c r="B112" i="34"/>
  <c r="B111" i="34"/>
  <c r="B110" i="34"/>
  <c r="B109" i="34"/>
  <c r="B108" i="34"/>
  <c r="B107" i="34"/>
  <c r="B106" i="34"/>
  <c r="B105" i="34"/>
  <c r="B104" i="34"/>
  <c r="B103" i="34"/>
  <c r="B102" i="34"/>
  <c r="B101" i="34"/>
  <c r="B100" i="34"/>
  <c r="B99" i="34"/>
  <c r="B98" i="34"/>
  <c r="B97" i="34"/>
  <c r="B96" i="34"/>
  <c r="B95" i="34"/>
  <c r="B94" i="34"/>
  <c r="B93" i="34"/>
  <c r="B92" i="34"/>
  <c r="B91" i="34"/>
  <c r="B90" i="34"/>
  <c r="B89" i="34"/>
  <c r="B88" i="34"/>
  <c r="B87" i="34"/>
  <c r="B86" i="34"/>
  <c r="B85" i="34"/>
  <c r="B84" i="34"/>
  <c r="B83" i="34"/>
  <c r="B82" i="34"/>
  <c r="B81" i="34"/>
  <c r="B80" i="34"/>
  <c r="B79" i="34"/>
  <c r="B78" i="34"/>
  <c r="B77" i="34"/>
  <c r="B76" i="34"/>
  <c r="B75" i="34"/>
  <c r="B74" i="34"/>
  <c r="B73" i="34"/>
  <c r="B72" i="34"/>
  <c r="B71" i="34"/>
  <c r="B70" i="34"/>
  <c r="B69" i="34"/>
  <c r="B68" i="34"/>
  <c r="B67" i="34"/>
  <c r="B66" i="34"/>
  <c r="B65" i="34"/>
  <c r="B64" i="34"/>
  <c r="B63" i="34"/>
  <c r="B62" i="34"/>
  <c r="B61" i="34"/>
  <c r="B60" i="34"/>
  <c r="B59" i="34"/>
  <c r="B58" i="34"/>
  <c r="B56" i="34"/>
  <c r="B57" i="34"/>
  <c r="B55" i="34"/>
  <c r="B54" i="34"/>
  <c r="B53" i="34"/>
  <c r="B52" i="34"/>
  <c r="B51" i="34"/>
  <c r="B50" i="34"/>
  <c r="B49" i="34"/>
  <c r="B47" i="34"/>
  <c r="B48" i="34"/>
  <c r="B46" i="34"/>
  <c r="B45" i="34"/>
  <c r="B44" i="34"/>
  <c r="B43" i="34"/>
  <c r="B42" i="34"/>
  <c r="B41" i="34"/>
  <c r="B40" i="34"/>
  <c r="B39" i="34"/>
  <c r="B38" i="34"/>
  <c r="B37" i="34"/>
  <c r="B36" i="34"/>
  <c r="B35" i="34"/>
  <c r="B34" i="34"/>
  <c r="B33" i="34"/>
  <c r="B32" i="34"/>
  <c r="B31" i="34"/>
  <c r="B30" i="34"/>
  <c r="B29" i="34"/>
  <c r="B28" i="34"/>
  <c r="B27" i="34"/>
  <c r="B26" i="34"/>
  <c r="B25" i="34"/>
  <c r="B24" i="34"/>
  <c r="B22" i="34"/>
  <c r="B23" i="34"/>
  <c r="B21" i="34"/>
  <c r="B20" i="34"/>
  <c r="B19" i="34"/>
  <c r="B18" i="34"/>
  <c r="B17" i="34"/>
  <c r="B16" i="34"/>
  <c r="B15" i="34"/>
  <c r="B14" i="34"/>
  <c r="A123" i="34"/>
  <c r="A122" i="34"/>
  <c r="A121" i="34"/>
  <c r="A120" i="34"/>
  <c r="A119" i="34"/>
  <c r="A118" i="34"/>
  <c r="A117" i="34"/>
  <c r="A116" i="34"/>
  <c r="A115" i="34"/>
  <c r="A114" i="34"/>
  <c r="A113" i="34"/>
  <c r="A112" i="34"/>
  <c r="A111" i="34"/>
  <c r="A110" i="34"/>
  <c r="A109" i="34"/>
  <c r="A108" i="34"/>
  <c r="A107" i="34"/>
  <c r="A106" i="34"/>
  <c r="A105" i="34"/>
  <c r="A104" i="34"/>
  <c r="A103" i="34"/>
  <c r="A102" i="34"/>
  <c r="A101" i="34"/>
  <c r="A100" i="34"/>
  <c r="A99" i="34"/>
  <c r="A98" i="34"/>
  <c r="A97" i="34"/>
  <c r="A96" i="34"/>
  <c r="A95" i="34"/>
  <c r="A94" i="34"/>
  <c r="A93" i="34"/>
  <c r="A92" i="34"/>
  <c r="A91" i="34"/>
  <c r="A90" i="34"/>
  <c r="A89" i="34"/>
  <c r="A88" i="34"/>
  <c r="A87" i="34"/>
  <c r="A86" i="34"/>
  <c r="A85" i="34"/>
  <c r="A84" i="34"/>
  <c r="A83" i="34"/>
  <c r="A82" i="34"/>
  <c r="A81" i="34"/>
  <c r="A80" i="34"/>
  <c r="A79" i="34"/>
  <c r="A78" i="34"/>
  <c r="A77" i="34"/>
  <c r="A76" i="34"/>
  <c r="A75" i="34"/>
  <c r="A74" i="34"/>
  <c r="A73" i="34"/>
  <c r="A72" i="34"/>
  <c r="A71" i="34"/>
  <c r="A70" i="34"/>
  <c r="A69" i="34"/>
  <c r="A68" i="34"/>
  <c r="A67" i="34"/>
  <c r="A66" i="34"/>
  <c r="A65" i="34"/>
  <c r="A64" i="34"/>
  <c r="A63" i="34"/>
  <c r="A62" i="34"/>
  <c r="A61" i="34"/>
  <c r="A60" i="34"/>
  <c r="A59" i="34"/>
  <c r="A58" i="34"/>
  <c r="A57" i="34"/>
  <c r="A56" i="34"/>
  <c r="A55" i="34"/>
  <c r="A54" i="34"/>
  <c r="A53" i="34"/>
  <c r="A52" i="34"/>
  <c r="A51" i="34"/>
  <c r="A50" i="34"/>
  <c r="A49" i="34"/>
  <c r="A48" i="34"/>
  <c r="A47" i="34"/>
  <c r="A46" i="34"/>
  <c r="A45" i="34"/>
  <c r="A44" i="34"/>
  <c r="A43" i="34"/>
  <c r="A42" i="34"/>
  <c r="A41" i="34"/>
  <c r="A40" i="34"/>
  <c r="A39" i="34"/>
  <c r="A38" i="34"/>
  <c r="A37" i="34"/>
  <c r="A36" i="34"/>
  <c r="A35" i="34"/>
  <c r="A34" i="34"/>
  <c r="A33" i="34"/>
  <c r="A32" i="34"/>
  <c r="A31" i="34"/>
  <c r="A30" i="34"/>
  <c r="A29" i="34"/>
  <c r="A28" i="34"/>
  <c r="A27" i="34"/>
  <c r="A26" i="34"/>
  <c r="A25" i="34"/>
  <c r="A24" i="34"/>
  <c r="A23" i="34"/>
  <c r="A22" i="34"/>
  <c r="A21" i="34"/>
  <c r="A20" i="34"/>
  <c r="A19" i="34"/>
  <c r="A18" i="34"/>
  <c r="A17" i="34"/>
  <c r="A16" i="34"/>
  <c r="A15" i="34"/>
  <c r="A14" i="34"/>
  <c r="A9" i="34"/>
  <c r="B13" i="34"/>
  <c r="A13" i="34"/>
  <c r="N12" i="34" l="1"/>
  <c r="D12" i="34"/>
  <c r="A7" i="34" l="1"/>
</calcChain>
</file>

<file path=xl/sharedStrings.xml><?xml version="1.0" encoding="utf-8"?>
<sst xmlns="http://schemas.openxmlformats.org/spreadsheetml/2006/main" count="3375" uniqueCount="720">
  <si>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</si>
  <si>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</si>
  <si>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</si>
  <si>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</si>
  <si>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</si>
  <si>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</si>
  <si>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</si>
  <si>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</si>
  <si>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</si>
  <si>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</si>
  <si>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</si>
  <si>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</si>
  <si>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&lt;UTitel&gt;</t>
  </si>
  <si>
    <t>T1-2</t>
  </si>
  <si>
    <t>&lt;SpaltenTitel_1&gt;</t>
  </si>
  <si>
    <t>&lt;SpaltenTitel_2&gt;</t>
  </si>
  <si>
    <t>&lt;SpaltenTitel_2.1&gt;</t>
  </si>
  <si>
    <t>&lt;SpaltenTitel_2.2&gt;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</si>
  <si>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</si>
  <si>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</si>
  <si>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</si>
  <si>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</si>
  <si>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</si>
  <si>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</si>
  <si>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</si>
  <si>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</si>
  <si>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&lt;Zeilentitel_9&gt;</t>
  </si>
  <si>
    <t>&lt;Zeilentitel_10&gt;</t>
  </si>
  <si>
    <t>&lt;Zeilentitel_11&gt;</t>
  </si>
  <si>
    <t>&lt;Zeilentitel_12&gt;</t>
  </si>
  <si>
    <t>&lt;Zeilentitel_13&gt;</t>
  </si>
  <si>
    <t>&lt;Zeilentitel_14&gt;</t>
  </si>
  <si>
    <t>&lt;Zeilentitel_15&gt;</t>
  </si>
  <si>
    <t>&lt;Zeilentitel_16&gt;</t>
  </si>
  <si>
    <t>&lt;Zeilentitel_17&gt;</t>
  </si>
  <si>
    <t>&lt;Zeilentitel_18&gt;</t>
  </si>
  <si>
    <t>&lt;Zeilentitel_19&gt;</t>
  </si>
  <si>
    <t>&lt;Zeilentitel_20&gt;</t>
  </si>
  <si>
    <t>&lt;Zeilentitel_21&gt;</t>
  </si>
  <si>
    <t>&lt;Zeilentitel_22&gt;</t>
  </si>
  <si>
    <t>&lt;Zeilentitel_23&gt;</t>
  </si>
  <si>
    <t>&lt;Zeilentitel_24&gt;</t>
  </si>
  <si>
    <t>&lt;Zeilentitel_25&gt;</t>
  </si>
  <si>
    <t>&lt;Zeilentitel_26&gt;</t>
  </si>
  <si>
    <t>&lt;Zeilentitel_27&gt;</t>
  </si>
  <si>
    <t>&lt;Legende_1&gt;</t>
  </si>
  <si>
    <t>&lt;Legende_2&gt;</t>
  </si>
  <si>
    <t>&lt;Legende_3&gt;</t>
  </si>
  <si>
    <t>&lt;Legende_4&gt;</t>
  </si>
  <si>
    <t>&lt;Quelle_1&gt;</t>
  </si>
  <si>
    <t>&lt;Aktualisierung&gt;</t>
  </si>
  <si>
    <t>&lt;Zeilentitel_28&gt;</t>
  </si>
  <si>
    <t>&lt;Zeilentitel_30&gt;</t>
  </si>
  <si>
    <t>&lt;Zeilentitel_31&gt;</t>
  </si>
  <si>
    <t>&lt;Zeilentitel_32&gt;</t>
  </si>
  <si>
    <t>&lt;Zeilentitel_29&gt;</t>
  </si>
  <si>
    <t>&lt;Legende_5&gt;</t>
  </si>
  <si>
    <t>T2</t>
  </si>
  <si>
    <t>&lt;T2Titel&gt;</t>
  </si>
  <si>
    <t>&lt;T2UTitel&gt;</t>
  </si>
  <si>
    <t>&lt;Zeilentitel_33&gt;</t>
  </si>
  <si>
    <t>&lt;Zeilentitel_34&gt;</t>
  </si>
  <si>
    <t>&lt;Zeilentitel_35&gt;</t>
  </si>
  <si>
    <t>Fonte: Amministrazione federale delle dogane (statistiche del commercio estero).</t>
  </si>
  <si>
    <t>Quelle: Eidgenössische Zollverwaltung (Aussenhandelsstatistik)</t>
  </si>
  <si>
    <t>Funtauna:Administraziun federala da duana (statistica dal commerzi cun l'exteriur)</t>
  </si>
  <si>
    <t>&lt;Zeilentitel_36&gt;</t>
  </si>
  <si>
    <t>&lt;Zeilentitel_37&gt;</t>
  </si>
  <si>
    <t>&lt;Zeilentitel_38&gt;</t>
  </si>
  <si>
    <t>&lt;Zeilentitel_39&gt;</t>
  </si>
  <si>
    <t>&lt;Zeilentitel_40&gt;</t>
  </si>
  <si>
    <t>&lt;Zeilentitel_41&gt;</t>
  </si>
  <si>
    <t>&lt;Zeilentitel_42&gt;</t>
  </si>
  <si>
    <t>&lt;Zeilentitel_43&gt;</t>
  </si>
  <si>
    <t>&lt;Zeilentitel_44&gt;</t>
  </si>
  <si>
    <t>&lt;Zeilentitel_45&gt;</t>
  </si>
  <si>
    <t>&lt;Zeilentitel_46&gt;</t>
  </si>
  <si>
    <t>&lt;Zeilentitel_47&gt;</t>
  </si>
  <si>
    <t>&lt;Zeilentitel_48&gt;</t>
  </si>
  <si>
    <t>&lt;Zeilentitel_49&gt;</t>
  </si>
  <si>
    <t>&lt;Zeilentitel_50&gt;</t>
  </si>
  <si>
    <t>&lt;Zeilentitel_51&gt;</t>
  </si>
  <si>
    <t>&lt;Zeilentitel_52&gt;</t>
  </si>
  <si>
    <t>&lt;Zeilentitel_53&gt;</t>
  </si>
  <si>
    <t>&lt;Zeilentitel_54&gt;</t>
  </si>
  <si>
    <t>&lt;Zeilentitel_1.1&gt;</t>
  </si>
  <si>
    <t>&lt;Zeilentitel_2.1&gt;</t>
  </si>
  <si>
    <t>&lt;Zeilentitel_3.1&gt;</t>
  </si>
  <si>
    <t>&lt;Zeilentitel_4.1&gt;</t>
  </si>
  <si>
    <t>&lt;Zeilentitel_5.1&gt;</t>
  </si>
  <si>
    <t>&lt;Zeilentitel_6.1&gt;</t>
  </si>
  <si>
    <t>&lt;Zeilentitel_7.1&gt;</t>
  </si>
  <si>
    <t>&lt;Zeilentitel_8.1&gt;</t>
  </si>
  <si>
    <t>&lt;Zeilentitel_9.1&gt;</t>
  </si>
  <si>
    <t>&lt;Zeilentitel_10.1&gt;</t>
  </si>
  <si>
    <t>&lt;Zeilentitel_11.1&gt;</t>
  </si>
  <si>
    <t>&lt;Zeilentitel_12.1&gt;</t>
  </si>
  <si>
    <t>&lt;Zeilentitel_13.1&gt;</t>
  </si>
  <si>
    <t>&lt;Zeilentitel_14.1&gt;</t>
  </si>
  <si>
    <t>&lt;Zeilentitel_15.1&gt;</t>
  </si>
  <si>
    <t>&lt;Zeilentitel_16.1&gt;</t>
  </si>
  <si>
    <t>&lt;Zeilentitel_17.1&gt;</t>
  </si>
  <si>
    <t>&lt;Zeilentitel_18.1&gt;</t>
  </si>
  <si>
    <t>&lt;Zeilentitel_19.1&gt;</t>
  </si>
  <si>
    <t>&lt;Zeilentitel_20.1&gt;</t>
  </si>
  <si>
    <t>&lt;Zeilentitel_21.1&gt;</t>
  </si>
  <si>
    <t>&lt;Zeilentitel_22.1&gt;</t>
  </si>
  <si>
    <t>&lt;Zeilentitel_23.1&gt;</t>
  </si>
  <si>
    <t>&lt;Zeilentitel_24.1&gt;</t>
  </si>
  <si>
    <t>&lt;Zeilentitel_25.1&gt;</t>
  </si>
  <si>
    <t>&lt;Zeilentitel_26.1&gt;</t>
  </si>
  <si>
    <t>&lt;Zeilentitel_27.1&gt;</t>
  </si>
  <si>
    <t>&lt;Zeilentitel_28.1&gt;</t>
  </si>
  <si>
    <t>&lt;Zeilentitel_29.1&gt;</t>
  </si>
  <si>
    <t>Servizi di alloggio</t>
  </si>
  <si>
    <t>&lt;Zeilentitel_30.1&gt;</t>
  </si>
  <si>
    <t>&lt;Zeilentitel_31.1&gt;</t>
  </si>
  <si>
    <t>&lt;Zeilentitel_32.1&gt;</t>
  </si>
  <si>
    <t>&lt;Zeilentitel_33.1&gt;</t>
  </si>
  <si>
    <t>&lt;Zeilentitel_34.1&gt;</t>
  </si>
  <si>
    <t>&lt;Zeilentitel_35.1&gt;</t>
  </si>
  <si>
    <t>&lt;Zeilentitel_36.1&gt;</t>
  </si>
  <si>
    <t>&lt;Zeilentitel_37.1&gt;</t>
  </si>
  <si>
    <t>&lt;Zeilentitel_38.1&gt;</t>
  </si>
  <si>
    <t>&lt;Zeilentitel_39.1&gt;</t>
  </si>
  <si>
    <t>&lt;Zeilentitel_40.1&gt;</t>
  </si>
  <si>
    <t>&lt;Zeilentitel_41.1&gt;</t>
  </si>
  <si>
    <t>&lt;Zeilentitel_42.1&gt;</t>
  </si>
  <si>
    <t>&lt;Zeilentitel_43.1&gt;</t>
  </si>
  <si>
    <t>&lt;Zeilentitel_44.1&gt;</t>
  </si>
  <si>
    <t>&lt;Zeilentitel_45.1&gt;</t>
  </si>
  <si>
    <t>&lt;Zeilentitel_46.1&gt;</t>
  </si>
  <si>
    <t>&lt;Zeilentitel_47.1&gt;</t>
  </si>
  <si>
    <t>&lt;Zeilentitel_48.1&gt;</t>
  </si>
  <si>
    <t>Servizi di assistenza residenziale</t>
  </si>
  <si>
    <t>&lt;Zeilentitel_49.1&gt;</t>
  </si>
  <si>
    <t>&lt;Zeilentitel_50.1&gt;</t>
  </si>
  <si>
    <t>&lt;Zeilentitel_51.1&gt;</t>
  </si>
  <si>
    <t>&lt;Zeilentitel_52.1&gt;</t>
  </si>
  <si>
    <t>&lt;Zeilentitel_53.1&gt;</t>
  </si>
  <si>
    <t>&lt;Zeilentitel_54.1&gt;</t>
  </si>
  <si>
    <t>CPA Code</t>
  </si>
  <si>
    <t>Code CPA</t>
  </si>
  <si>
    <t>Codice CPA</t>
  </si>
  <si>
    <t>Exporte aus Graubünden seit 2016</t>
  </si>
  <si>
    <t>Esportazioni dei Grigioni dal 2016</t>
  </si>
  <si>
    <t>Wert in Tausend Franken</t>
  </si>
  <si>
    <t>Veränderung gegenüber Vorjahr (in Prozent)</t>
  </si>
  <si>
    <t>00</t>
  </si>
  <si>
    <t>A</t>
  </si>
  <si>
    <t>A01</t>
  </si>
  <si>
    <t>A02</t>
  </si>
  <si>
    <t>A03</t>
  </si>
  <si>
    <t>B</t>
  </si>
  <si>
    <t>B05</t>
  </si>
  <si>
    <t>B06</t>
  </si>
  <si>
    <t>B07</t>
  </si>
  <si>
    <t>B08</t>
  </si>
  <si>
    <t>B09</t>
  </si>
  <si>
    <t>C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</si>
  <si>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</si>
  <si>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</si>
  <si>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</si>
  <si>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</si>
  <si>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</si>
  <si>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</si>
  <si>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</si>
  <si>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</si>
  <si>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</si>
  <si>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</si>
  <si>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</si>
  <si>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</si>
  <si>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</si>
  <si>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</si>
  <si>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</si>
  <si>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</si>
  <si>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</si>
  <si>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</si>
  <si>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</si>
  <si>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</si>
  <si>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</si>
  <si>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</si>
  <si>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</si>
  <si>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</si>
  <si>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D</t>
  </si>
  <si>
    <t>D35</t>
  </si>
  <si>
    <t>E</t>
  </si>
  <si>
    <t>E36</t>
  </si>
  <si>
    <t>E37</t>
  </si>
  <si>
    <t>E38</t>
  </si>
  <si>
    <t>E39</t>
  </si>
  <si>
    <t>F</t>
  </si>
  <si>
    <t>F41</t>
  </si>
  <si>
    <t>F42</t>
  </si>
  <si>
    <t>F43</t>
  </si>
  <si>
    <t>G</t>
  </si>
  <si>
    <t>G45</t>
  </si>
  <si>
    <t>G46</t>
  </si>
  <si>
    <t>G47</t>
  </si>
  <si>
    <t>H</t>
  </si>
  <si>
    <t>H49</t>
  </si>
  <si>
    <t>H50</t>
  </si>
  <si>
    <t>H51</t>
  </si>
  <si>
    <t>H52</t>
  </si>
  <si>
    <t>H53</t>
  </si>
  <si>
    <t>I</t>
  </si>
  <si>
    <t>I55</t>
  </si>
  <si>
    <t>I56</t>
  </si>
  <si>
    <t>J</t>
  </si>
  <si>
    <t>J58</t>
  </si>
  <si>
    <t>J59</t>
  </si>
  <si>
    <t>J60</t>
  </si>
  <si>
    <t>J61</t>
  </si>
  <si>
    <t>J62</t>
  </si>
  <si>
    <t>J63</t>
  </si>
  <si>
    <t>K</t>
  </si>
  <si>
    <t>K64</t>
  </si>
  <si>
    <t>K65</t>
  </si>
  <si>
    <t>K66</t>
  </si>
  <si>
    <t>L</t>
  </si>
  <si>
    <t>L68</t>
  </si>
  <si>
    <t>M</t>
  </si>
  <si>
    <t>M69</t>
  </si>
  <si>
    <t>M70</t>
  </si>
  <si>
    <t>M71</t>
  </si>
  <si>
    <t>M72</t>
  </si>
  <si>
    <t>M73</t>
  </si>
  <si>
    <t>M74</t>
  </si>
  <si>
    <t>M75</t>
  </si>
  <si>
    <t>N</t>
  </si>
  <si>
    <t>N77</t>
  </si>
  <si>
    <t>N78</t>
  </si>
  <si>
    <t>N79</t>
  </si>
  <si>
    <t>N80</t>
  </si>
  <si>
    <t>N81</t>
  </si>
  <si>
    <t>N82</t>
  </si>
  <si>
    <t>O</t>
  </si>
  <si>
    <t>O84</t>
  </si>
  <si>
    <t>P</t>
  </si>
  <si>
    <t>P85</t>
  </si>
  <si>
    <t>Q</t>
  </si>
  <si>
    <t>Q86</t>
  </si>
  <si>
    <t>Q87</t>
  </si>
  <si>
    <t>Q88</t>
  </si>
  <si>
    <t>R</t>
  </si>
  <si>
    <t>R90</t>
  </si>
  <si>
    <t>R91</t>
  </si>
  <si>
    <t>R92</t>
  </si>
  <si>
    <t>R93</t>
  </si>
  <si>
    <t>S</t>
  </si>
  <si>
    <t>S94</t>
  </si>
  <si>
    <t>S95</t>
  </si>
  <si>
    <t>S96</t>
  </si>
  <si>
    <t>T</t>
  </si>
  <si>
    <t>T97</t>
  </si>
  <si>
    <t>T98</t>
  </si>
  <si>
    <t>U</t>
  </si>
  <si>
    <t>U99</t>
  </si>
  <si>
    <t>&lt;Zeilentitel_55&gt;</t>
  </si>
  <si>
    <t>&lt;Zeilentitel_56&gt;</t>
  </si>
  <si>
    <t>&lt;Zeilentitel_57&gt;</t>
  </si>
  <si>
    <t>&lt;Zeilentitel_58&gt;</t>
  </si>
  <si>
    <t>&lt;Zeilentitel_59&gt;</t>
  </si>
  <si>
    <t>&lt;Zeilentitel_60&gt;</t>
  </si>
  <si>
    <t>&lt;Zeilentitel_61&gt;</t>
  </si>
  <si>
    <t>&lt;Zeilentitel_62&gt;</t>
  </si>
  <si>
    <t>&lt;Zeilentitel_63&gt;</t>
  </si>
  <si>
    <t>&lt;Zeilentitel_64&gt;</t>
  </si>
  <si>
    <t>&lt;Zeilentitel_65&gt;</t>
  </si>
  <si>
    <t>&lt;Zeilentitel_66&gt;</t>
  </si>
  <si>
    <t>&lt;Zeilentitel_67&gt;</t>
  </si>
  <si>
    <t>&lt;Zeilentitel_68&gt;</t>
  </si>
  <si>
    <t>&lt;Zeilentitel_69&gt;</t>
  </si>
  <si>
    <t>&lt;Zeilentitel_70&gt;</t>
  </si>
  <si>
    <t>&lt;Zeilentitel_71&gt;</t>
  </si>
  <si>
    <t>&lt;Zeilentitel_72&gt;</t>
  </si>
  <si>
    <t>&lt;Zeilentitel_73&gt;</t>
  </si>
  <si>
    <t>&lt;Zeilentitel_74&gt;</t>
  </si>
  <si>
    <t>&lt;Zeilentitel_75&gt;</t>
  </si>
  <si>
    <t>&lt;Zeilentitel_76&gt;</t>
  </si>
  <si>
    <t>&lt;Zeilentitel_77&gt;</t>
  </si>
  <si>
    <t>&lt;Zeilentitel_78&gt;</t>
  </si>
  <si>
    <t>&lt;Zeilentitel_79&gt;</t>
  </si>
  <si>
    <t>&lt;Zeilentitel_80&gt;</t>
  </si>
  <si>
    <t>&lt;Zeilentitel_81&gt;</t>
  </si>
  <si>
    <t>&lt;Zeilentitel_82&gt;</t>
  </si>
  <si>
    <t>&lt;Zeilentitel_83&gt;</t>
  </si>
  <si>
    <t>&lt;Zeilentitel_84&gt;</t>
  </si>
  <si>
    <t>&lt;Zeilentitel_85&gt;</t>
  </si>
  <si>
    <t>&lt;Zeilentitel_86&gt;</t>
  </si>
  <si>
    <t>&lt;Zeilentitel_87&gt;</t>
  </si>
  <si>
    <t>&lt;Zeilentitel_88&gt;</t>
  </si>
  <si>
    <t>&lt;Zeilentitel_89&gt;</t>
  </si>
  <si>
    <t>&lt;Zeilentitel_91&gt;</t>
  </si>
  <si>
    <t>&lt;Zeilentitel_92&gt;</t>
  </si>
  <si>
    <t>&lt;Zeilentitel_93&gt;</t>
  </si>
  <si>
    <t>&lt;Zeilentitel_94&gt;</t>
  </si>
  <si>
    <t>&lt;Zeilentitel_95&gt;</t>
  </si>
  <si>
    <t>&lt;Zeilentitel_96&gt;</t>
  </si>
  <si>
    <t>&lt;Zeilentitel_97&gt;</t>
  </si>
  <si>
    <t>&lt;Zeilentitel_98&gt;</t>
  </si>
  <si>
    <t>&lt;Zeilentitel_99&gt;</t>
  </si>
  <si>
    <t>&lt;Zeilentitel_100&gt;</t>
  </si>
  <si>
    <t>&lt;Zeilentitel_101&gt;</t>
  </si>
  <si>
    <t>&lt;Zeilentitel_102&gt;</t>
  </si>
  <si>
    <t>&lt;Zeilentitel_103&gt;</t>
  </si>
  <si>
    <t>&lt;Zeilentitel_104&gt;</t>
  </si>
  <si>
    <t>&lt;Zeilentitel_105&gt;</t>
  </si>
  <si>
    <t>&lt;Zeilentitel_106&gt;</t>
  </si>
  <si>
    <t>&lt;Zeilentitel_107&gt;</t>
  </si>
  <si>
    <t>&lt;Zeilentitel_108&gt;</t>
  </si>
  <si>
    <t>&lt;Zeilentitel_109&gt;</t>
  </si>
  <si>
    <t>&lt;Zeilentitel_110&gt;</t>
  </si>
  <si>
    <t>&lt;Zeilentitel_111&gt;</t>
  </si>
  <si>
    <t>*Statistische Güterklassifikation in Verbindung mit den Wirtschaftszweigen</t>
  </si>
  <si>
    <t>**Absolute Veränderung grösser als 999.99%</t>
  </si>
  <si>
    <t>Exports dal Grischun dapi l'onn 2016</t>
  </si>
  <si>
    <t>Importe nach Graubünden seit 2016</t>
  </si>
  <si>
    <t>Imports en il Grischun dapi l'onn 2016</t>
  </si>
  <si>
    <t>Importazioni nei Grigioni dal 2016</t>
  </si>
  <si>
    <t xml:space="preserve">Statistische Güterklassifikation in Verbindung mit den Wirtschaftszweigen (CPA) </t>
  </si>
  <si>
    <t>TOTAL</t>
  </si>
  <si>
    <t>ERZEUGNISSE DER LANDWIRTSCHAFT, FORSTWIRTSCHAFT UND FISCHEREI</t>
  </si>
  <si>
    <t>Erzeugnisse der Landwirtschaft und Jagd sowie damit verbundene Dienstleistungen</t>
  </si>
  <si>
    <t>Forstwirtschaftliche Erzeugnisse und Dienstleistungen</t>
  </si>
  <si>
    <t>Fische und Fischereierzeugnisse; Aquakulturerzeugnisse; Dienstleistungen für die Fischerei</t>
  </si>
  <si>
    <t>BERGBAUERZEUGNISSE; STEINE UND ERDEN</t>
  </si>
  <si>
    <t>Kohle</t>
  </si>
  <si>
    <t>Erdöl und Erdgas</t>
  </si>
  <si>
    <t>Erze</t>
  </si>
  <si>
    <t>Steine und Erden; sonstige Bergbauerzeugnisse</t>
  </si>
  <si>
    <t>Dienstleistungen für den Bergbau und für die Gewinnung von Steinen und Erden</t>
  </si>
  <si>
    <t>HERGESTELLTE WAREN</t>
  </si>
  <si>
    <t>Nahrungs- und Futtermittel</t>
  </si>
  <si>
    <t>Getränke</t>
  </si>
  <si>
    <t>Tabakerzeugnisse</t>
  </si>
  <si>
    <t>Textilien</t>
  </si>
  <si>
    <t>Bekleidung</t>
  </si>
  <si>
    <t>Leder und Lederwaren</t>
  </si>
  <si>
    <t>Holz sowie Holz- und Korkwaren (ohne Möbel); Flecht- und Korbwaren</t>
  </si>
  <si>
    <t>Papier, Pappe und Waren daraus</t>
  </si>
  <si>
    <t>Druckereileistungen und Dienstleistungen der Vervielfältigung bespielter Ton-, Bild- und Datenträger</t>
  </si>
  <si>
    <t>Kokereierzeugnisse und Mineralölerzeugnisse</t>
  </si>
  <si>
    <t>Chemische Erzeugnisse</t>
  </si>
  <si>
    <t>Pharmazeutische Erzeugnisse</t>
  </si>
  <si>
    <t>Gummi- und Kunststoffwaren</t>
  </si>
  <si>
    <t>Glas- und Glaswaren, Keramik, verarbeitete Steine und Erden</t>
  </si>
  <si>
    <t>Metalle</t>
  </si>
  <si>
    <t>Metallerzeugnisse</t>
  </si>
  <si>
    <t>Datenverarbeitungsgeräte, elektronische und optische Erzeugnisse</t>
  </si>
  <si>
    <t>Elektrische Ausrüstungen</t>
  </si>
  <si>
    <t>Maschinen</t>
  </si>
  <si>
    <t>Kraftwagen und Kraftwagenteile</t>
  </si>
  <si>
    <t>Sonstige Fahrzeuge</t>
  </si>
  <si>
    <t>Möbel</t>
  </si>
  <si>
    <t>Waren, a.n.g.</t>
  </si>
  <si>
    <t>Reparatur- und Installationsarbeiten an Maschinen und Ausrüstungen</t>
  </si>
  <si>
    <t>ENERGIE UND DIENSTLEISTUNGEN DER ENERGIEVERSORGUNG</t>
  </si>
  <si>
    <t>Energie und Dienstleistungen der Energieversorgung</t>
  </si>
  <si>
    <t>WASSER; DIENSTLEISTUNGEN DER ABWASSER- UND ABFALLENTSORGUNG UND DER BESEITIGUNG VON UMWELTVERSCHMUTZUNGEN</t>
  </si>
  <si>
    <t>Wasser; Dienstleistungen der Wasserversorgung sowie des Wasserhandels durch Rohrleitungen</t>
  </si>
  <si>
    <t>Abwasserentsorgungsdienstleistungen</t>
  </si>
  <si>
    <t>Dienstleistungen der Sammlung, Behandlung und Beseitigung von Abfällen sowie zur Rückgewinnung von Wertstoffen</t>
  </si>
  <si>
    <t>Dienstleistungen der Beseitigung von Umweltverschmutzungen und sonstigen Entsorgung</t>
  </si>
  <si>
    <t>GEBÄUDE UND BAUARBEITEN</t>
  </si>
  <si>
    <t>Gebäude und Hochbauarbeiten</t>
  </si>
  <si>
    <t>Tiefbauten und Tiefbauarbeiten</t>
  </si>
  <si>
    <t>Vorbereitende Baustellenarbeiten, Bauinstallationsarbeiten und sonstige Ausbauarbeiten</t>
  </si>
  <si>
    <t>HANDELSLEISTUNGEN; INSTANDHALTUNGS- UND REPARATURARBEITEN AN KRAFTFAHRZEUGEN</t>
  </si>
  <si>
    <t>Handelsleistungen mit Kraftfahrzeugen; Instandhaltungs- und Reparaturarbeiten an Kraftfahrzeugen</t>
  </si>
  <si>
    <t>Großhandelsleistungen (ohne Handelsleistungen mit Kraftfahrzeugen)</t>
  </si>
  <si>
    <t>Einzelhandelsleistungen (ohne Handelsleistungen mit Kraftfahrzeugen)</t>
  </si>
  <si>
    <t>VERKEHRS- UND LAGEREILEISTUNGEN</t>
  </si>
  <si>
    <t>Landverkehrsleistungen und Transportleistungen in Rohrfernleitungen</t>
  </si>
  <si>
    <t>Schifffahrtsleistungen</t>
  </si>
  <si>
    <t>Luftfahrtleistungen</t>
  </si>
  <si>
    <t>Lagereileistungen sowie sonstige Unterstützungsdienstleistungen für den Verkehr</t>
  </si>
  <si>
    <t>Postdienstleistungen und Dienstleistungen privater Kurier- und Expressdienste</t>
  </si>
  <si>
    <t>BEHERBERGUNGS- UND GASTRONOMIEDIENSTLEISTUNGEN</t>
  </si>
  <si>
    <t>Beherbergungsdienstleistungen</t>
  </si>
  <si>
    <t>Gastronomiedienstleistungen</t>
  </si>
  <si>
    <t>INFORMATIONS- UND KOMMUNIKATIONSDIENSTLEISTUNGEN</t>
  </si>
  <si>
    <t>Dienstleistungen des Verlagswesens</t>
  </si>
  <si>
    <t>Dienstleistungen der Herstellung, des Verleihs und Vertriebs von Filmen und Fernsehprogrammen, von Kinos und Tonstudios; Verlagsleistungen bezüglich Musik</t>
  </si>
  <si>
    <t>Rundfunkveranstaltungsleistungen</t>
  </si>
  <si>
    <t>Telekommunikationsdienstleistungen</t>
  </si>
  <si>
    <t>Dienstleistungen der EDV-Programmierung und -Beratung und damit verbundene Dienstleistungen</t>
  </si>
  <si>
    <t>Informationsdienstleistungen</t>
  </si>
  <si>
    <t>FINANZ- UND VERSICHERUNGSDIENSTLEISTUNGEN</t>
  </si>
  <si>
    <t>Finanzdienstleistungen, außer Versicherungen und Pensionen</t>
  </si>
  <si>
    <t>Dienstleistungen von Versicherungen, Rückversicherungen und Pensionskassen (ohne Sozialversicherung)</t>
  </si>
  <si>
    <t>Mit den Finanz- und Versicherungsdienstleistungen verbundene Dienstleistungen</t>
  </si>
  <si>
    <t>DIENSTLEISTUNGEN DES GRUNDSTÜCKS- UND WOHNUNGSWESENS</t>
  </si>
  <si>
    <t>Dienstleistungen des Grundstücks- und Wohnungswesens</t>
  </si>
  <si>
    <t>FREIBERUFLICHE, WISSENSCHAFTLICHE UND TECHNISCHE DIENSTLEISTUNGEN</t>
  </si>
  <si>
    <t>Rechts-, Steuerberatungs- und Wirtschaftsprüfungsleistungen</t>
  </si>
  <si>
    <t>Dienstleistungen der Verwaltung und Führung von Unternehmen und Betrieben; Unternehmensberatungsleistungen</t>
  </si>
  <si>
    <t>Dienstleistungen von Architektur- und Ingenieurbüros und der technischen, physikalischen und chemischen Untersuchung</t>
  </si>
  <si>
    <t>Forschungs- und Entwicklungsleistungen</t>
  </si>
  <si>
    <t>Werbe- und Marktforschungsleistungen</t>
  </si>
  <si>
    <t>Sonstige freiberufliche, wissenschaftliche und technische Dienstleistungen</t>
  </si>
  <si>
    <t>Dienstleistungen des Veterinärwesens</t>
  </si>
  <si>
    <t>SONSTIGE WIRTSCHAFTLICHE DIENSTLEISTUNGEN</t>
  </si>
  <si>
    <t>Dienstleistungen der Vermietung von beweglichen Sachen</t>
  </si>
  <si>
    <t>Dienstleistungen der Vermittlung und Überlassung von Arbeitskräften und des Personalmanagements</t>
  </si>
  <si>
    <t>Dienstleistungen von Reisebüros und Reiseveranstaltern und sonstige Reservierungsdienstleistungen</t>
  </si>
  <si>
    <t>Wach-, Sicherheits- und Detekteileistungen</t>
  </si>
  <si>
    <t>Dienstleistungen der Gebäudebetreuung und des Garten- und Landschaftsbaus</t>
  </si>
  <si>
    <t>Wirtschaftliche Dienstleistungen für Unternehmen und Privatpersonen, a.n.g.</t>
  </si>
  <si>
    <t>Dienstleistungen der öffentlichen Verwaltung, der Verteidigung und der Sozialversicherung</t>
  </si>
  <si>
    <t>ERZIEHUNGS- UND UNTERRICHTSDIENSTLEISTUNGEN</t>
  </si>
  <si>
    <t>Erziehungs- und Unterrichtsdienstleistungen</t>
  </si>
  <si>
    <t>DIENSTLEISTUNGEN DES GESUNDHEITS- UND SOZIALWESENS</t>
  </si>
  <si>
    <t>Dienstleistungen des Gesundheitswesens</t>
  </si>
  <si>
    <t>Dienstleistungen von Heimen (ohne Erholungs- und Ferienheime)</t>
  </si>
  <si>
    <t>Dienstleistungen des Sozialwesens (ohne Heime), a.n.g.</t>
  </si>
  <si>
    <t>KUNST-, UNTERHALTUNGS- UND ERHOLUNGSDIENSTLEISTUNGEN</t>
  </si>
  <si>
    <t>Kreative, künstlerische und unterhaltende Dienstleistungen</t>
  </si>
  <si>
    <t>Dienstleistungen von Bibliotheken, Archiven und Museen, botanischen und zoologischen Gärten</t>
  </si>
  <si>
    <t>Dienstleistungen des Spiel-, Wett- und Lotteriewesens</t>
  </si>
  <si>
    <t>Dienstleistungen des Sports, der Unterhaltung und der Erholung</t>
  </si>
  <si>
    <t>SONSTIGE DIENSTLEISTUNGEN</t>
  </si>
  <si>
    <t>Dienstleistungen von Interessenvertretungen sowie kirchlichen und sonstigen religiösen Vereinigungen (ohne Sozialwesen und Sport)</t>
  </si>
  <si>
    <t>Reparaturarbeiten an Datenverarbeitungsgeräten und Gebrauchsgütern</t>
  </si>
  <si>
    <t>Sonstige überwiegend persönliche Dienstleistungen</t>
  </si>
  <si>
    <t>DIENSTLEISTUNGEN PRIVATER HAUSHALTE, DIE HAUSPERSONAL BESCHÄFTIGEN; VON PRIVATEN HAUSHALTEN PRODUZIERTE WAREN UND DIENSTLEISTUNGEN FÜR DEN EIGENBEDARF OHNE AUSGEPRÄGTEN SCHWERPUNKT</t>
  </si>
  <si>
    <t>Dienstleistungen privater Haushalte, die Hauspersonal beschäftigen</t>
  </si>
  <si>
    <t>Durch private Haushalte für den Eigenbedarf produzierte Waren und Dienstleistungen ohne ausgeprägten Schwerpunkt</t>
  </si>
  <si>
    <t>DIENSTLEISTUNGEN EXTERRITORIALER ORGANISATIONEN UND KÖRPERSCHAFTEN</t>
  </si>
  <si>
    <t>Dienstleistungen exterritorialer Organisationen und Körperschaften</t>
  </si>
  <si>
    <t>PRODUCTS DA L'AGRICULTURA, DA LA SELVICULTURA E DA LA PESTGA</t>
  </si>
  <si>
    <t>Products da l'agricultura e da la chatscha sco er servetschs colliads cun quai</t>
  </si>
  <si>
    <t>Products e servetschs forestals</t>
  </si>
  <si>
    <t>Peschs e products da pestga; products d'aquaculturals; servetschs per la pestga</t>
  </si>
  <si>
    <t>PRODUCTS DA PURS DA MUNTOGNA; CRAPPA E TERRA</t>
  </si>
  <si>
    <t>TOTALE</t>
  </si>
  <si>
    <t>Bevande</t>
  </si>
  <si>
    <t>Crappa e terra; auters products da purs da muntogna</t>
  </si>
  <si>
    <t>Prestaziuns per l'industria da minieras e per l'explotaziun da crappa e terra</t>
  </si>
  <si>
    <t>RAUBA PRODUCIDA</t>
  </si>
  <si>
    <t>Prodotti chimici</t>
  </si>
  <si>
    <t>Articoli in gomma e materie plastiche</t>
  </si>
  <si>
    <t>Metalli</t>
  </si>
  <si>
    <t>Apparecchiature elettriche</t>
  </si>
  <si>
    <t>Prestaziuns da stamparia e servetschs da reproducziun da portatuns, maletgs e datas</t>
  </si>
  <si>
    <t>Products da cocere e products d'ieli mineral</t>
  </si>
  <si>
    <t>Rauba da vaider e da vaider, cheramica, crappa elavurada e terra</t>
  </si>
  <si>
    <t>Apparats d' elavuraziun da datas, products electronics ed optics</t>
  </si>
  <si>
    <t>Autos electrics e parts da l'auto</t>
  </si>
  <si>
    <t>Auters vehichels</t>
  </si>
  <si>
    <t>Rauba, p.ex.</t>
  </si>
  <si>
    <t>ENERGIA E SERVETSCHS DAL PROVEDIMENT D'ENERGIA</t>
  </si>
  <si>
    <t>Energia e servetschs dal provediment d'energia</t>
  </si>
  <si>
    <t>LAS AUAS; SERVETSCHS PER LA DISMESSA DALS RUMENTS E PER LA DISMESSA DA POLLUZIUNS DA L'AMBIENT</t>
  </si>
  <si>
    <t>SERVIZI DI TRASPORTO E MAGAZZINAGGIO</t>
  </si>
  <si>
    <t>Prestaziuns da rimnada, tractament e dismessa da ruments sco er per recuperar vaglias</t>
  </si>
  <si>
    <t>Servetschs per allontanar la polluziun da l'ambient e l'ulteriura dismessa</t>
  </si>
  <si>
    <t>EDIFIZIS E LAVURS DA CONSTRUCZIUN</t>
  </si>
  <si>
    <t>Edifizis e lavurs da construcziun auta</t>
  </si>
  <si>
    <t>Construcziuns bassas e lavurs da construcziun bassa</t>
  </si>
  <si>
    <t>PRESTAZIUNS COMMERZIALAS; LAVURS DA MANTEGNIMENT E DA REPARATURA DA VEHICHELS ELECTRICS</t>
  </si>
  <si>
    <t>Prestaziuns da commerzi a l'engrossa (senza prestaziuns commerzialas cun autos)</t>
  </si>
  <si>
    <t>Prestaziuns da commerzi en detagl (senza prestaziuns commerzialas cun autos)</t>
  </si>
  <si>
    <t>PRESTAZIUNS DA TRAFFIC E DA DEPOSIT</t>
  </si>
  <si>
    <t>Prestaziuns da transport sin terra e prestaziuns da transport en conducts da bischens</t>
  </si>
  <si>
    <t>PRESTAZIUNS D'ALLOSCHAMENT E DA GASTRONOMIA</t>
  </si>
  <si>
    <t>SERVETSCHS D'INFURMAZIUN E DA COMMUNICAZIUN</t>
  </si>
  <si>
    <t>Servetschs da programmaziun e cussegliaziun dad EED e servetschs colliads cun quai</t>
  </si>
  <si>
    <t>SERVETSCHS DA FINANZAS ED ASSICURANZAS</t>
  </si>
  <si>
    <t>Servetschs da finanzas, assicuranzas e pensiuns</t>
  </si>
  <si>
    <t>Prestaziuns da servetsch d'assicuranzas, da reassicuranzas e da cassas da pensiun (senza assicuranza sociala)</t>
  </si>
  <si>
    <t>Servizi di trasporto aereo</t>
  </si>
  <si>
    <t>SERVIZI DI ALLOGGIO E DI RISTORAZIONE</t>
  </si>
  <si>
    <t>SERVIZI DI INFORMAZIONE E COMUNICAZIONE</t>
  </si>
  <si>
    <t>Servizi di telecomunicazione</t>
  </si>
  <si>
    <t>SERVIZI FINANZIARI E ASSICURATIVI</t>
  </si>
  <si>
    <t>SERVIZI PROFESSIONALI, SCIENTIFICI E TECNICI</t>
  </si>
  <si>
    <t>Altri servizi professionali, scientifici e tecnici</t>
  </si>
  <si>
    <t>Servizi veterinari</t>
  </si>
  <si>
    <t>Servetschs colliads cun las prestaziuns da finanzas e d'assicuranza</t>
  </si>
  <si>
    <t>SERVETSCHS DALS FATGS DA TERREN ED ABITAZIUNS</t>
  </si>
  <si>
    <t>Servetschs da bains immobigliars ed abitaziuns</t>
  </si>
  <si>
    <t>SERVETSCHS PROFESSIUNALS LIBERS, SCIENTIFICS E TECNICS</t>
  </si>
  <si>
    <t>Prestaziuns da dretg, cussegliaziun da taglia e controlla economica</t>
  </si>
  <si>
    <t>Prestaziuns da perscrutaziun e da svilup</t>
  </si>
  <si>
    <t>Prestaziuns da reclama e da perscrutaziun dal martgà</t>
  </si>
  <si>
    <t>Ulteriurs servetschs professiunals libers, scientifics e tecnics</t>
  </si>
  <si>
    <t>Servetschs veterinars</t>
  </si>
  <si>
    <t>ULTERIURAS PRESTAZIUNS DA SERVETSCH ECONOMICAS</t>
  </si>
  <si>
    <t>Servetschs per intermediar e surlaschar forzas da lavur e management dal persunal</t>
  </si>
  <si>
    <t>Servetschs da biros e d'organisaturs da viadis sco er auters servetschs da reservaziun</t>
  </si>
  <si>
    <t>Prestaziuns da guardia, da segirezza e da detectivs</t>
  </si>
  <si>
    <t>Servetschs da la tgira d'edifizis e da l'orticultura e da la cuntrada</t>
  </si>
  <si>
    <t>Servetschs economics per interpresas e persunas privatas, p.ex.</t>
  </si>
  <si>
    <t>PRESTAZIUNS DA SERVETSCH DA L'ADMINISTRAZIUN PUBLICA, DA LA DEFENSIUN E DA LAS ASSICURANZAS SOCIALAS</t>
  </si>
  <si>
    <t>SERVETSCHS D'EDUCAZIUN E D'INSTRUCZIUN</t>
  </si>
  <si>
    <t>Servetschs d'educaziun e d'instrucziun</t>
  </si>
  <si>
    <t>SERVETSCHS DA SANADAD E FATGS SOCIALS</t>
  </si>
  <si>
    <t>Servetschs dal sectur da sanadad</t>
  </si>
  <si>
    <t>Servetschs da chasas da dimora (senza chasas da recreaziun e da vacanzas)</t>
  </si>
  <si>
    <t>SERVETSCHS D' ART, DA DIVERTIMENT E DA RECREAZIUN</t>
  </si>
  <si>
    <t>Servetschs creativs, artistics e divertents</t>
  </si>
  <si>
    <t>Servetschs da bibliotecas, archivs e da museums, curtins botanics e zoologics</t>
  </si>
  <si>
    <t>Servetschs da gieus, da scumessas e da lottarias</t>
  </si>
  <si>
    <t>Servetschs dal sport, dal divertiment e da la recreaziun</t>
  </si>
  <si>
    <t>AUTRAS PRESTAZIUNS DA SERVETSCH</t>
  </si>
  <si>
    <t>Ulteriuras prestaziuns da servetsch persunalas per gronda part</t>
  </si>
  <si>
    <t>SERVETSCHS DA TEGNAIRCHASA PRIVATS CH'OCCUPAN PERSUNAL DA TEGNAIRCHASA; RAUBA PRODUCIDA DA TEGNAIRCHASAS PRIVATAS E SERVETSCHS PER L'AGEN BASEGN SENZA PRIORITAD PRECEDENTA</t>
  </si>
  <si>
    <t>Servetschs da tegnairchasa privats che occupan persunal da chasa</t>
  </si>
  <si>
    <t>Rauba e servetschs che vegnan producids da chasadas privatas per l'agen diever senza accent principal</t>
  </si>
  <si>
    <t>SERVETSCHS D'ORGANISAZIUNS E CORPORAZIUNS EXTERRITORIALAS</t>
  </si>
  <si>
    <t>Servetschs d'organisaziuns e da corporaziuns extraterritorialas</t>
  </si>
  <si>
    <t>Servizi sanitari</t>
  </si>
  <si>
    <t>ALTRI SERVIZI</t>
  </si>
  <si>
    <t>PRODOTTI DELL'AGRICOLTURA, SILVICOLTURA E PESCA</t>
  </si>
  <si>
    <t>Prodotti dell'agricoltura e della caccia e relativi servizi</t>
  </si>
  <si>
    <t>Prodotti della silvicoltura, delle operazioni di taglio e trasporto dei tronchi e servizi connessi</t>
  </si>
  <si>
    <t>Pesci ed altri prodotti della pesca; prodotti dell'acquacoltura; servizi di supporto per la pesca</t>
  </si>
  <si>
    <t>PRODOTTI DELLE MINIERE E DELLE CAVE</t>
  </si>
  <si>
    <t>Carboni fossili e ligniti</t>
  </si>
  <si>
    <t>Petrolio greggio e gas naturale</t>
  </si>
  <si>
    <t>Minerali metalliferi</t>
  </si>
  <si>
    <t>Altri prodotti delle miniere e delle cave</t>
  </si>
  <si>
    <t>Servizi di supporto per le attività di estrazione</t>
  </si>
  <si>
    <t>PRODOTTI TRASFORMATI E MANUFATTI</t>
  </si>
  <si>
    <t>Prodotti alimentari</t>
  </si>
  <si>
    <t>Prodotti a base di tabacco</t>
  </si>
  <si>
    <t>Prodotti tessili</t>
  </si>
  <si>
    <t>Articoli di abbigliamento</t>
  </si>
  <si>
    <t>Cuoio e relativi prodotti</t>
  </si>
  <si>
    <t>Legno e prodotti in legno e sughero (esclusi i mobili); articoli di paglia e materiali da intreccio</t>
  </si>
  <si>
    <t>Carta e prodotti di carta</t>
  </si>
  <si>
    <t>Servizi di stampa e di registrazione</t>
  </si>
  <si>
    <t>Coke e prodotti petroliferi raffinati</t>
  </si>
  <si>
    <t>Prodotti farmaceutici di base e preparati farmaceutici</t>
  </si>
  <si>
    <t>Altri prodotti della lavorazione di minerali non metalliferi</t>
  </si>
  <si>
    <t>Prodotti in metallo, esclusi macchine e impianti</t>
  </si>
  <si>
    <t>Prodotti informatici, elettronici ed ottici</t>
  </si>
  <si>
    <t>Macchine ed apparecchi meccanici n.c.a.</t>
  </si>
  <si>
    <t>Autoveicoli, rimorchi e semirimorchi</t>
  </si>
  <si>
    <t>Altri mezzi di trasporto</t>
  </si>
  <si>
    <t>Mobilio</t>
  </si>
  <si>
    <t>Altri manufatti</t>
  </si>
  <si>
    <t>Servizi di riparazione e installazione di macchinari e apparecchi</t>
  </si>
  <si>
    <t>ENERGIA ELETTRICA, GAS, VAPORE E ARIA CONDIZIONATA</t>
  </si>
  <si>
    <t>Energia elettrica, gas, vapore e aria condizionata</t>
  </si>
  <si>
    <t>PRODUZIONE E DISTRIBUZIONE D'ACQUA; RETI FOGNARIE, SERVIZI DI TRATTAMENTO DEI RIFIUTI E DECONTAMINAZIONE</t>
  </si>
  <si>
    <t>Acqua naturale; servizi di trattamento delle acque e di produzione e distribuzione d'acqua</t>
  </si>
  <si>
    <t>Servizi di smaltimento delle acque di scarico; fanghi di depurazione</t>
  </si>
  <si>
    <t>Servizi di trattamento e smaltimento dei rifiuti; servizi di recupero dei materiali</t>
  </si>
  <si>
    <t>Servizi di decontaminazione ed altri servizi di trattamento dei rifiuti</t>
  </si>
  <si>
    <t>LAVORI DI COSTRUZIONE ED OPERE DI EDILIZIA CIVILE</t>
  </si>
  <si>
    <t>Edifici ed opere di edilizia civile</t>
  </si>
  <si>
    <t>Lavori di costruzione ed opere di genio civile</t>
  </si>
  <si>
    <t>Opere specializzate</t>
  </si>
  <si>
    <t>SERVIZI DI VENDITA ALL'INGROSSO E AL DETTAGLIO; SERVIZI DI RIPARAZIONE DI AUTOVEICOLI E MOTOCICLI</t>
  </si>
  <si>
    <t>Servizi di vendita all'ingrosso e al dettaglio e di riparazione di autoveicoli e motocicli</t>
  </si>
  <si>
    <t>Servizi di vendita all'ingrosso, escluso quello di autoveicoli e di motocicli</t>
  </si>
  <si>
    <t>Servizi di vendita al dettaglio, escluso quello di autoveicoli e di motocicli</t>
  </si>
  <si>
    <t>Servizi di trasporto terrestre e di trasporto mediante condotte</t>
  </si>
  <si>
    <t>Servizi di trasporto marittimo e per vie d'acqua</t>
  </si>
  <si>
    <t>Servizi di magazzinaggio e di supporto per i trasporti</t>
  </si>
  <si>
    <t>Servizi postali e di corriere</t>
  </si>
  <si>
    <t>Servizi di ristorazione e di vendita di bevande</t>
  </si>
  <si>
    <t>Servizi di editoria</t>
  </si>
  <si>
    <t>Servizi di produzione di pellicole cinematografiche, di video e di programmi televisivi; edizione di registrazioni sonore e edizioni musicali</t>
  </si>
  <si>
    <t>Servizi di programmazione e di emissione radiofonica e televisiva</t>
  </si>
  <si>
    <t>Programmazione informatica, consulenze e servizi connessi</t>
  </si>
  <si>
    <t>Servizi d'informazione</t>
  </si>
  <si>
    <t>Servizi finanziari (escluse le assicurazioni e i fondi pensione)</t>
  </si>
  <si>
    <t>Servizi connessi alle assicurazioni, alle riassicurazioni e ai fondi pensione, escluse le assicurazioni sociali obbligatorie</t>
  </si>
  <si>
    <t>Servizi ausiliari dei servizi finanziari e dei servizi assicurativi</t>
  </si>
  <si>
    <t>SERVIZI IMMOBILIARI</t>
  </si>
  <si>
    <t>Servizi immobiliari</t>
  </si>
  <si>
    <t>Servizi legali e contabilità</t>
  </si>
  <si>
    <t>Servizi di sedi sociali; servizi di consulenza in materia amministrativo-gestionale</t>
  </si>
  <si>
    <t>Servizi in materia di architettura e di ingegneria; servizi di sperimentazione e di analisi tecnica</t>
  </si>
  <si>
    <t>Servizi di ricerca e sviluppo scientifici</t>
  </si>
  <si>
    <t>Servizi di pubblicit- e studi di mercato</t>
  </si>
  <si>
    <t>SERVIZI AMMINISTRATIVI E DI SUPPORTO</t>
  </si>
  <si>
    <t>Servizi di locazione e leasing</t>
  </si>
  <si>
    <t>Servizi del lavoro</t>
  </si>
  <si>
    <t>Servizi delle agenzie di viaggio, degli operatori turistici ed altri servizi di prenotazione e servizi connessi</t>
  </si>
  <si>
    <t>Servizi investigativi e di vigilanza</t>
  </si>
  <si>
    <t>Servizi di manutenzione degli edifici e del paesaggio</t>
  </si>
  <si>
    <t>Servizi amministrativi e di sostegno per le funzioni d'ufficio ed altri servizi di sostegno alle imprese</t>
  </si>
  <si>
    <t>SERVIZI DI PUBBLICA AMMINISTRAZIONE E DIFESA; SERVIZI DI ASSICURAZIONE SOCIALE OBBLIGATORIA</t>
  </si>
  <si>
    <t>Servizi di pubblica amministrazione e difesa; servizi di assicurazione sociale obbligatoria</t>
  </si>
  <si>
    <t>SERVIZI DI ISTRUZIONE</t>
  </si>
  <si>
    <t>Servizi di istruzione</t>
  </si>
  <si>
    <t>SERVIZI SANITARI E DI ASSISTENZA SOCIALE</t>
  </si>
  <si>
    <t>Servizi di assistenza sociale non residenziale</t>
  </si>
  <si>
    <t>SERVIZI NEL CAMPO DELL'ARTE, DELLO SPETTACOLO E DEL TEMPO LIBERO</t>
  </si>
  <si>
    <t>Servizi creativi, artistici e d'intrattenimento</t>
  </si>
  <si>
    <t>Servizi di biblioteche, archivi, musei ed altri servizi culturali</t>
  </si>
  <si>
    <t>Servizi riguardanti il gioco d'azzardo</t>
  </si>
  <si>
    <t>Servizi sportivi e di intrattenimento e divertimento</t>
  </si>
  <si>
    <t>Servizi forniti da organizzazioni associative</t>
  </si>
  <si>
    <t>Servizi di riparazione di elaboratori elettronici e di beni per uso personale e domestico</t>
  </si>
  <si>
    <t>Altri servizi personali</t>
  </si>
  <si>
    <t>SERVIZI DI DATORE DI LAVORO SVOLTI DA FAMIGLIE E CONVIVENZE; PRODUZIONE DI BENI E SERVIZI PER USO PROPRIO DA PARTE DI FAMIGLIE E CONVIVENZE</t>
  </si>
  <si>
    <t>Servizi di datore di lavoro per personale domestico svolti da famiglie e convivenze</t>
  </si>
  <si>
    <t>Produzione di beni e servizi per uso proprio da parte di famiglie e convivenze</t>
  </si>
  <si>
    <t>SERVIZI FORNITI DA ORGANIZZAZIONI ED ORGANISMI EXTRATERRITORIALI</t>
  </si>
  <si>
    <t>Servizi forniti da organizzazioni ed organismi extraterritoriali</t>
  </si>
  <si>
    <t>**Variazione assoluta superiore a 999.99%</t>
  </si>
  <si>
    <t>*Classificazione statistica dei prodotti associati alle attività</t>
  </si>
  <si>
    <t>Valore in migliaia di franchi</t>
  </si>
  <si>
    <t>Variazione rispetto all'anno precedente 
(in %)</t>
  </si>
  <si>
    <t xml:space="preserve">Classificazione statistica dei prodotti associati alle attività (CPA) </t>
  </si>
  <si>
    <t>**Midada absoluta pli gronda che 999,99%</t>
  </si>
  <si>
    <t>*Classificaziun statistica dals bains en cumbinaziun cun ils secturs economics</t>
  </si>
  <si>
    <t>Midada envers l'onn precedent (en pertschient)</t>
  </si>
  <si>
    <t>Valur en milli francs</t>
  </si>
  <si>
    <t>&lt;Zeilentitel_90&gt;</t>
  </si>
  <si>
    <t>&lt;Zeilentitel_55.1&gt;</t>
  </si>
  <si>
    <t>&lt;Zeilentitel_56.1&gt;</t>
  </si>
  <si>
    <t>&lt;Zeilentitel_57.1&gt;</t>
  </si>
  <si>
    <t>&lt;Zeilentitel_58.1&gt;</t>
  </si>
  <si>
    <t>&lt;Zeilentitel_59.1&gt;</t>
  </si>
  <si>
    <t>&lt;Zeilentitel_60.1&gt;</t>
  </si>
  <si>
    <t>&lt;Zeilentitel_61.1&gt;</t>
  </si>
  <si>
    <t>&lt;Zeilentitel_62.1&gt;</t>
  </si>
  <si>
    <t>&lt;Zeilentitel_63.1&gt;</t>
  </si>
  <si>
    <t>&lt;Zeilentitel_64.1&gt;</t>
  </si>
  <si>
    <t>&lt;Zeilentitel_65.1&gt;</t>
  </si>
  <si>
    <t>&lt;Zeilentitel_66.1&gt;</t>
  </si>
  <si>
    <t>&lt;Zeilentitel_67.1&gt;</t>
  </si>
  <si>
    <t>&lt;Zeilentitel_68.1&gt;</t>
  </si>
  <si>
    <t>&lt;Zeilentitel_69.1&gt;</t>
  </si>
  <si>
    <t>&lt;Zeilentitel_70.1&gt;</t>
  </si>
  <si>
    <t>&lt;Zeilentitel_71.1&gt;</t>
  </si>
  <si>
    <t>&lt;Zeilentitel_72.1&gt;</t>
  </si>
  <si>
    <t>&lt;Zeilentitel_73.1&gt;</t>
  </si>
  <si>
    <t>&lt;Zeilentitel_74.1&gt;</t>
  </si>
  <si>
    <t>&lt;Zeilentitel_75.1&gt;</t>
  </si>
  <si>
    <t>&lt;Zeilentitel_76.1&gt;</t>
  </si>
  <si>
    <t>&lt;Zeilentitel_77.1&gt;</t>
  </si>
  <si>
    <t>&lt;Zeilentitel_78.1&gt;</t>
  </si>
  <si>
    <t>&lt;Zeilentitel_79.1&gt;</t>
  </si>
  <si>
    <t>&lt;Zeilentitel_80.1&gt;</t>
  </si>
  <si>
    <t>&lt;Zeilentitel_81.1&gt;</t>
  </si>
  <si>
    <t>&lt;Zeilentitel_82.1&gt;</t>
  </si>
  <si>
    <t>&lt;Zeilentitel_83.1&gt;</t>
  </si>
  <si>
    <t>&lt;Zeilentitel_84.1&gt;</t>
  </si>
  <si>
    <t>&lt;Zeilentitel_85.1&gt;</t>
  </si>
  <si>
    <t>&lt;Zeilentitel_86.1&gt;</t>
  </si>
  <si>
    <t>&lt;Zeilentitel_87.1&gt;</t>
  </si>
  <si>
    <t>&lt;Zeilentitel_88.1&gt;</t>
  </si>
  <si>
    <t>&lt;Zeilentitel_89.1&gt;</t>
  </si>
  <si>
    <t>&lt;Zeilentitel_90.1&gt;</t>
  </si>
  <si>
    <t>&lt;Zeilentitel_91.1&gt;</t>
  </si>
  <si>
    <t>&lt;Zeilentitel_92.1&gt;</t>
  </si>
  <si>
    <t>&lt;Zeilentitel_93.1&gt;</t>
  </si>
  <si>
    <t>&lt;Zeilentitel_94.1&gt;</t>
  </si>
  <si>
    <t>&lt;Zeilentitel_95.1&gt;</t>
  </si>
  <si>
    <t>&lt;Zeilentitel_96.1&gt;</t>
  </si>
  <si>
    <t>&lt;Zeilentitel_97.1&gt;</t>
  </si>
  <si>
    <t>&lt;Zeilentitel_98.1&gt;</t>
  </si>
  <si>
    <t>&lt;Zeilentitel_99.1&gt;</t>
  </si>
  <si>
    <t>&lt;Zeilentitel_100.1&gt;</t>
  </si>
  <si>
    <t>&lt;Zeilentitel_101.1&gt;</t>
  </si>
  <si>
    <t>&lt;Zeilentitel_102.1&gt;</t>
  </si>
  <si>
    <t>&lt;Zeilentitel_103.1&gt;</t>
  </si>
  <si>
    <t>&lt;Zeilentitel_104.1&gt;</t>
  </si>
  <si>
    <t>&lt;Zeilentitel_105.1&gt;</t>
  </si>
  <si>
    <t>&lt;Zeilentitel_106.1&gt;</t>
  </si>
  <si>
    <t>&lt;Zeilentitel_107.1&gt;</t>
  </si>
  <si>
    <t>&lt;Zeilentitel_108.1&gt;</t>
  </si>
  <si>
    <t>&lt;Zeilentitel_109.1&gt;</t>
  </si>
  <si>
    <t>&lt;Zeilentitel_110.1&gt;</t>
  </si>
  <si>
    <t>&lt;Zeilentitel_111.1&gt;</t>
  </si>
  <si>
    <t>DIENSTLEISTUNGEN DER ÖFFENTLICHEN VERWALTUNG, DER VERTEIDIGUNG UND DER SOZIALVERSICHERUNG</t>
  </si>
  <si>
    <t>-</t>
  </si>
  <si>
    <t>**</t>
  </si>
  <si>
    <t xml:space="preserve">Classificaziun statistica dals bains en cumbinaziun cun ils secturs economics (CPA) </t>
  </si>
  <si>
    <t>Charvun</t>
  </si>
  <si>
    <t>Petroli e gas natiral</t>
  </si>
  <si>
    <t>Products da nutriment e da pavel</t>
  </si>
  <si>
    <t>Bavronda</t>
  </si>
  <si>
    <t>Products da tubac</t>
  </si>
  <si>
    <t>Textilias</t>
  </si>
  <si>
    <t>Vestgadira</t>
  </si>
  <si>
    <t>Tgirom e rauba da tgirom</t>
  </si>
  <si>
    <t>Lain sco er products da lain e da chanasters (senza mobiglias); litgens e chanasters</t>
  </si>
  <si>
    <t>Palpiri, chartun e rauba</t>
  </si>
  <si>
    <t>Products chemics</t>
  </si>
  <si>
    <t>Products farmaceutics</t>
  </si>
  <si>
    <t>Products da gumma e da materia sintetica</t>
  </si>
  <si>
    <t>Metals</t>
  </si>
  <si>
    <t>Products da metal</t>
  </si>
  <si>
    <t>Equipaments electrics</t>
  </si>
  <si>
    <t>Maschinas</t>
  </si>
  <si>
    <t>Mobiglia</t>
  </si>
  <si>
    <t>Lavurs da reparatura e d'installaziun vi da maschinas ed equipaments</t>
  </si>
  <si>
    <t>Aua; servetschs dal provediment d'aua sco er dal commerzi d'aua tras conducts da bischens</t>
  </si>
  <si>
    <t>Servetschs da dismessa d'aua persa</t>
  </si>
  <si>
    <t>Lavurs preparatoricas sin il plazzal, lavurs d'installaziun da construcziun ed ulteriuras lavurs da cumplettaziun</t>
  </si>
  <si>
    <t>Prestaziuns commerzialas cun vehichels electrics; lavurs da mantegniment e da reparatura da vehichels electrics</t>
  </si>
  <si>
    <t>Prestaziuns da navigaziun</t>
  </si>
  <si>
    <t>Prestaziuns d'aviatica</t>
  </si>
  <si>
    <t>Prestaziuns da deposit sco er autras prestaziuns da sustegn per il traffic</t>
  </si>
  <si>
    <t>Servetschs da posta e servetschs privats da curier e d'express</t>
  </si>
  <si>
    <t>Prestaziuns d'alloschament</t>
  </si>
  <si>
    <t>Servetschs da gastronomia</t>
  </si>
  <si>
    <t>Servetschs d'ediziun</t>
  </si>
  <si>
    <t>Servetschs per la producziun, la distribuziun e la vendita da films e programs da televisiun, da kinos e da studios sonors; prestaziuns editorialas concernent la musica</t>
  </si>
  <si>
    <t>Prestaziuns d'occurrenzas da radiodiffusiun</t>
  </si>
  <si>
    <t>Servetschs da telecommunicaziun</t>
  </si>
  <si>
    <t>Servetschs d'infurmaziun</t>
  </si>
  <si>
    <t>Servetschs da l'administraziun e da la gestiun d'interpresas e d'interpresas; prestaziuns da cussegliaziun d'interpresas</t>
  </si>
  <si>
    <t>Servetschs da biros d'architectura e d'inschigners e da l'examinaziun tecnica, fisica e chemica</t>
  </si>
  <si>
    <t>Servetschs per dar en locaziun chaussas moviblas</t>
  </si>
  <si>
    <t>Prestaziuns da servetsch da l'administraziun publica, da la defensiun e da l'assicuranza sociala</t>
  </si>
  <si>
    <t>Prestaziuns da servetsch socialas (senza chasas), p.ex.</t>
  </si>
  <si>
    <t>Servetschs da represchentanzas d'interess sco er d'uniuns ecclesiasticas e d'autras religiusas (senza fatgs socials e sport)</t>
  </si>
  <si>
    <t>Lavurs da reparatura vi d'apparats d'elavuraziun da datas e vi da bains da diever</t>
  </si>
  <si>
    <t>Letztmals aktualisiert am: 09.07.2025</t>
  </si>
  <si>
    <t>Ultima actualisaziun: 09.07.2025</t>
  </si>
  <si>
    <t>Ulimo aggiornamento: 09.07.2025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</si>
</sst>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 * #,##0_ ;_ * \-#,##0_ ;_ * &quot;-&quot;??_ ;_ @_ "/>
    <numFmt numFmtId="165" formatCode="_-* #,##0.00\ _€_-;\-* #,##0.00\ _€_-;_-* &quot;-&quot;??\ _€_-;_-@_-"/>
    <numFmt numFmtId="166" formatCode="0.0"/>
    <numFmt numFmtId="167" formatCode="0.0%"/>
    <numFmt numFmtId="168" formatCode="_ * #,##0.0_ ;_ * \-#,##0.0_ ;_ * &quot;-&quot;??_ ;_ @_ 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color rgb="FFFF0000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8"/>
      <color rgb="FF000000"/>
      <name val="Segoe UI"/>
      <family val="2"/>
    </font>
    <font>
      <sz val="8.5"/>
      <name val="Helvetica"/>
    </font>
    <font>
      <b/>
      <sz val="10"/>
      <name val="Arial"/>
      <family val="2"/>
    </font>
    <font>
      <sz val="12"/>
      <name val="Times New Roman"/>
      <family val="1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u/>
      <sz val="12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7" fillId="0" borderId="0"/>
    <xf numFmtId="0" fontId="13" fillId="0" borderId="0"/>
    <xf numFmtId="0" fontId="15" fillId="0" borderId="0"/>
    <xf numFmtId="0" fontId="18" fillId="0" borderId="0" applyNumberFormat="0" applyFill="0" applyBorder="0" applyAlignment="0" applyProtection="0"/>
  </cellStyleXfs>
  <cellXfs count="101">
    <xf numFmtId="0" fontId="0" fillId="0" borderId="0" xfId="0"/>
    <xf numFmtId="0" fontId="3" fillId="2" borderId="0" xfId="0" applyFont="1" applyFill="1"/>
    <xf numFmtId="0" fontId="5" fillId="2" borderId="0" xfId="0" applyFont="1" applyFill="1"/>
    <xf numFmtId="0" fontId="6" fillId="2" borderId="0" xfId="0" applyFont="1" applyFill="1"/>
    <xf numFmtId="164" fontId="7" fillId="2" borderId="0" xfId="4" applyNumberFormat="1" applyFont="1" applyFill="1" applyBorder="1" applyAlignment="1" applyProtection="1"/>
    <xf numFmtId="3" fontId="3" fillId="2" borderId="0" xfId="4" applyNumberFormat="1" applyFont="1" applyFill="1" applyBorder="1" applyAlignment="1" applyProtection="1">
      <alignment horizontal="right" wrapText="1"/>
    </xf>
    <xf numFmtId="167" fontId="3" fillId="2" borderId="0" xfId="2" applyNumberFormat="1" applyFont="1" applyFill="1" applyBorder="1" applyAlignment="1" applyProtection="1">
      <alignment horizontal="right" wrapText="1"/>
    </xf>
    <xf numFmtId="0" fontId="1" fillId="2" borderId="0" xfId="0" applyFont="1" applyFill="1"/>
    <xf numFmtId="0" fontId="6" fillId="2" borderId="0" xfId="0" applyFont="1" applyFill="1" applyAlignment="1">
      <alignment horizontal="left"/>
    </xf>
    <xf numFmtId="0" fontId="6" fillId="3" borderId="0" xfId="0" applyFont="1" applyFill="1" applyAlignment="1">
      <alignment horizontal="left" vertical="top"/>
    </xf>
    <xf numFmtId="0" fontId="8" fillId="3" borderId="0" xfId="0" applyFont="1" applyFill="1" applyAlignment="1">
      <alignment horizontal="left" vertical="center"/>
    </xf>
    <xf numFmtId="166" fontId="3" fillId="2" borderId="0" xfId="1" applyNumberFormat="1" applyFont="1" applyFill="1" applyBorder="1" applyAlignment="1" applyProtection="1">
      <alignment horizontal="right" vertical="center" wrapText="1"/>
    </xf>
    <xf numFmtId="0" fontId="10" fillId="4" borderId="0" xfId="0" applyFont="1" applyFill="1" applyBorder="1" applyAlignment="1">
      <alignment horizontal="left" vertical="top"/>
    </xf>
    <xf numFmtId="0" fontId="10" fillId="4" borderId="0" xfId="0" applyFont="1" applyFill="1" applyBorder="1" applyAlignment="1">
      <alignment horizontal="left" vertical="top" wrapText="1"/>
    </xf>
    <xf numFmtId="0" fontId="1" fillId="5" borderId="0" xfId="0" applyFont="1" applyFill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1" fillId="5" borderId="0" xfId="0" applyFont="1" applyFill="1" applyBorder="1" applyAlignment="1">
      <alignment horizontal="left" vertical="top"/>
    </xf>
    <xf numFmtId="0" fontId="1" fillId="5" borderId="0" xfId="0" applyFont="1" applyFill="1" applyBorder="1" applyAlignment="1" applyProtection="1">
      <alignment horizontal="left" vertical="top"/>
      <protection locked="0"/>
    </xf>
    <xf numFmtId="0" fontId="1" fillId="5" borderId="0" xfId="0" applyFont="1" applyFill="1" applyBorder="1" applyAlignment="1" applyProtection="1">
      <alignment horizontal="left" vertical="top" wrapText="1"/>
      <protection locked="0"/>
    </xf>
    <xf numFmtId="0" fontId="1" fillId="5" borderId="0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6" borderId="0" xfId="0" applyFont="1" applyFill="1" applyBorder="1" applyAlignment="1">
      <alignment horizontal="left" vertical="top"/>
    </xf>
    <xf numFmtId="0" fontId="1" fillId="6" borderId="0" xfId="0" applyFont="1" applyFill="1" applyBorder="1" applyAlignment="1">
      <alignment horizontal="left" vertical="top" wrapText="1"/>
    </xf>
    <xf numFmtId="0" fontId="7" fillId="2" borderId="0" xfId="0" applyFont="1" applyFill="1"/>
    <xf numFmtId="164" fontId="9" fillId="3" borderId="0" xfId="1" applyNumberFormat="1" applyFont="1" applyFill="1" applyBorder="1" applyAlignment="1" applyProtection="1">
      <alignment horizontal="left" vertical="top"/>
    </xf>
    <xf numFmtId="0" fontId="3" fillId="0" borderId="0" xfId="0" applyFont="1" applyFill="1" applyBorder="1"/>
    <xf numFmtId="0" fontId="1" fillId="0" borderId="0" xfId="0" applyFont="1" applyFill="1" applyBorder="1"/>
    <xf numFmtId="0" fontId="7" fillId="0" borderId="0" xfId="0" applyFont="1" applyFill="1" applyBorder="1"/>
    <xf numFmtId="0" fontId="0" fillId="0" borderId="0" xfId="0" applyFill="1" applyBorder="1"/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5" fillId="2" borderId="0" xfId="0" applyFont="1" applyFill="1" applyBorder="1"/>
    <xf numFmtId="0" fontId="8" fillId="2" borderId="0" xfId="0" applyFont="1" applyFill="1" applyBorder="1" applyAlignment="1">
      <alignment vertical="top" wrapText="1"/>
    </xf>
    <xf numFmtId="0" fontId="9" fillId="2" borderId="0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horizontal="left" vertical="top" wrapText="1"/>
    </xf>
    <xf numFmtId="0" fontId="3" fillId="0" borderId="11" xfId="1" applyNumberFormat="1" applyFont="1" applyFill="1" applyBorder="1" applyAlignment="1" applyProtection="1">
      <alignment horizontal="right" vertical="top" wrapText="1"/>
    </xf>
    <xf numFmtId="0" fontId="3" fillId="0" borderId="3" xfId="1" applyNumberFormat="1" applyFont="1" applyFill="1" applyBorder="1" applyAlignment="1" applyProtection="1">
      <alignment horizontal="right" vertical="top" wrapText="1"/>
    </xf>
    <xf numFmtId="0" fontId="3" fillId="0" borderId="7" xfId="1" applyNumberFormat="1" applyFont="1" applyFill="1" applyBorder="1" applyAlignment="1" applyProtection="1">
      <alignment horizontal="right" vertical="top" wrapText="1"/>
    </xf>
    <xf numFmtId="0" fontId="3" fillId="0" borderId="8" xfId="1" applyNumberFormat="1" applyFont="1" applyFill="1" applyBorder="1" applyAlignment="1" applyProtection="1">
      <alignment horizontal="right" vertical="top" wrapText="1"/>
    </xf>
    <xf numFmtId="3" fontId="14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49" fontId="3" fillId="2" borderId="0" xfId="8" applyNumberFormat="1" applyFont="1" applyFill="1" applyBorder="1" applyAlignment="1">
      <alignment horizontal="left" vertical="center" wrapText="1"/>
    </xf>
    <xf numFmtId="164" fontId="3" fillId="8" borderId="10" xfId="1" applyNumberFormat="1" applyFont="1" applyFill="1" applyBorder="1" applyAlignment="1" applyProtection="1">
      <alignment horizontal="right" vertical="center" wrapText="1"/>
    </xf>
    <xf numFmtId="164" fontId="3" fillId="2" borderId="10" xfId="1" applyNumberFormat="1" applyFont="1" applyFill="1" applyBorder="1" applyAlignment="1" applyProtection="1">
      <alignment horizontal="right" vertical="center" wrapText="1"/>
    </xf>
    <xf numFmtId="164" fontId="3" fillId="2" borderId="11" xfId="1" applyNumberFormat="1" applyFont="1" applyFill="1" applyBorder="1" applyAlignment="1" applyProtection="1">
      <alignment horizontal="right" vertical="center" wrapText="1"/>
    </xf>
    <xf numFmtId="168" fontId="14" fillId="2" borderId="15" xfId="1" applyNumberFormat="1" applyFont="1" applyFill="1" applyBorder="1" applyAlignment="1" applyProtection="1">
      <alignment horizontal="right" vertical="center" wrapText="1"/>
    </xf>
    <xf numFmtId="168" fontId="14" fillId="2" borderId="13" xfId="1" applyNumberFormat="1" applyFont="1" applyFill="1" applyBorder="1" applyAlignment="1" applyProtection="1">
      <alignment horizontal="right" vertical="center" wrapText="1"/>
    </xf>
    <xf numFmtId="168" fontId="14" fillId="2" borderId="12" xfId="1" applyNumberFormat="1" applyFont="1" applyFill="1" applyBorder="1" applyAlignment="1" applyProtection="1">
      <alignment horizontal="right" vertical="center" wrapText="1"/>
    </xf>
    <xf numFmtId="168" fontId="3" fillId="8" borderId="10" xfId="1" applyNumberFormat="1" applyFont="1" applyFill="1" applyBorder="1" applyAlignment="1" applyProtection="1">
      <alignment horizontal="right" vertical="center" wrapText="1"/>
    </xf>
    <xf numFmtId="168" fontId="3" fillId="8" borderId="9" xfId="1" applyNumberFormat="1" applyFont="1" applyFill="1" applyBorder="1" applyAlignment="1" applyProtection="1">
      <alignment horizontal="right" vertical="center" wrapText="1"/>
    </xf>
    <xf numFmtId="168" fontId="3" fillId="8" borderId="2" xfId="1" applyNumberFormat="1" applyFont="1" applyFill="1" applyBorder="1" applyAlignment="1" applyProtection="1">
      <alignment horizontal="right" vertical="center" wrapText="1"/>
    </xf>
    <xf numFmtId="168" fontId="3" fillId="2" borderId="10" xfId="1" applyNumberFormat="1" applyFont="1" applyFill="1" applyBorder="1" applyAlignment="1" applyProtection="1">
      <alignment horizontal="right" vertical="center" wrapText="1"/>
    </xf>
    <xf numFmtId="168" fontId="3" fillId="2" borderId="9" xfId="1" applyNumberFormat="1" applyFont="1" applyFill="1" applyBorder="1" applyAlignment="1" applyProtection="1">
      <alignment horizontal="right" vertical="center" wrapText="1"/>
    </xf>
    <xf numFmtId="168" fontId="3" fillId="2" borderId="2" xfId="1" applyNumberFormat="1" applyFont="1" applyFill="1" applyBorder="1" applyAlignment="1" applyProtection="1">
      <alignment horizontal="right" vertical="center" wrapText="1"/>
    </xf>
    <xf numFmtId="168" fontId="3" fillId="2" borderId="11" xfId="1" applyNumberFormat="1" applyFont="1" applyFill="1" applyBorder="1" applyAlignment="1" applyProtection="1">
      <alignment horizontal="right" vertical="center" wrapText="1"/>
    </xf>
    <xf numFmtId="168" fontId="3" fillId="2" borderId="14" xfId="1" applyNumberFormat="1" applyFont="1" applyFill="1" applyBorder="1" applyAlignment="1" applyProtection="1">
      <alignment horizontal="right" vertical="center" wrapText="1"/>
    </xf>
    <xf numFmtId="168" fontId="3" fillId="2" borderId="3" xfId="1" applyNumberFormat="1" applyFont="1" applyFill="1" applyBorder="1" applyAlignment="1" applyProtection="1">
      <alignment horizontal="right" vertical="center" wrapText="1"/>
    </xf>
    <xf numFmtId="164" fontId="14" fillId="2" borderId="15" xfId="1" applyNumberFormat="1" applyFont="1" applyFill="1" applyBorder="1" applyAlignment="1" applyProtection="1">
      <alignment horizontal="right" vertical="center" wrapText="1"/>
    </xf>
    <xf numFmtId="164" fontId="14" fillId="2" borderId="13" xfId="1" applyNumberFormat="1" applyFont="1" applyFill="1" applyBorder="1" applyAlignment="1" applyProtection="1">
      <alignment horizontal="right" vertical="center" wrapText="1"/>
    </xf>
    <xf numFmtId="164" fontId="14" fillId="2" borderId="12" xfId="1" applyNumberFormat="1" applyFont="1" applyFill="1" applyBorder="1" applyAlignment="1" applyProtection="1">
      <alignment horizontal="right" vertical="center" wrapText="1"/>
    </xf>
    <xf numFmtId="164" fontId="3" fillId="8" borderId="9" xfId="1" applyNumberFormat="1" applyFont="1" applyFill="1" applyBorder="1" applyAlignment="1" applyProtection="1">
      <alignment horizontal="right" vertical="center" wrapText="1"/>
    </xf>
    <xf numFmtId="164" fontId="3" fillId="8" borderId="2" xfId="1" applyNumberFormat="1" applyFont="1" applyFill="1" applyBorder="1" applyAlignment="1" applyProtection="1">
      <alignment horizontal="right" vertical="center" wrapText="1"/>
    </xf>
    <xf numFmtId="164" fontId="3" fillId="2" borderId="9" xfId="1" applyNumberFormat="1" applyFont="1" applyFill="1" applyBorder="1" applyAlignment="1" applyProtection="1">
      <alignment horizontal="right" vertical="center" wrapText="1"/>
    </xf>
    <xf numFmtId="164" fontId="3" fillId="2" borderId="2" xfId="1" applyNumberFormat="1" applyFont="1" applyFill="1" applyBorder="1" applyAlignment="1" applyProtection="1">
      <alignment horizontal="right" vertical="center" wrapText="1"/>
    </xf>
    <xf numFmtId="164" fontId="3" fillId="2" borderId="14" xfId="1" applyNumberFormat="1" applyFont="1" applyFill="1" applyBorder="1" applyAlignment="1" applyProtection="1">
      <alignment horizontal="right" vertical="center" wrapText="1"/>
    </xf>
    <xf numFmtId="164" fontId="3" fillId="2" borderId="3" xfId="1" applyNumberFormat="1" applyFont="1" applyFill="1" applyBorder="1" applyAlignment="1" applyProtection="1">
      <alignment horizontal="right" vertical="center" wrapText="1"/>
    </xf>
    <xf numFmtId="0" fontId="11" fillId="5" borderId="0" xfId="0" applyFont="1" applyFill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0" fontId="16" fillId="5" borderId="0" xfId="0" applyFont="1" applyFill="1" applyBorder="1" applyAlignment="1">
      <alignment horizontal="left" vertical="top" wrapText="1"/>
    </xf>
    <xf numFmtId="0" fontId="17" fillId="2" borderId="16" xfId="0" applyFont="1" applyFill="1" applyBorder="1" applyAlignment="1">
      <alignment wrapText="1"/>
    </xf>
    <xf numFmtId="0" fontId="3" fillId="0" borderId="0" xfId="9" applyFont="1" applyFill="1" applyBorder="1" applyAlignment="1">
      <alignment horizontal="left"/>
    </xf>
    <xf numFmtId="0" fontId="17" fillId="2" borderId="19" xfId="0" applyFont="1" applyFill="1" applyBorder="1" applyAlignment="1">
      <alignment horizontal="left" wrapText="1"/>
    </xf>
    <xf numFmtId="0" fontId="7" fillId="2" borderId="20" xfId="0" applyFont="1" applyFill="1" applyBorder="1" applyAlignment="1">
      <alignment horizontal="left"/>
    </xf>
    <xf numFmtId="0" fontId="7" fillId="2" borderId="18" xfId="0" applyFont="1" applyFill="1" applyBorder="1"/>
    <xf numFmtId="0" fontId="7" fillId="8" borderId="20" xfId="0" applyFont="1" applyFill="1" applyBorder="1" applyAlignment="1">
      <alignment horizontal="left"/>
    </xf>
    <xf numFmtId="0" fontId="3" fillId="2" borderId="0" xfId="0" applyFont="1" applyFill="1" applyAlignment="1">
      <alignment wrapText="1"/>
    </xf>
    <xf numFmtId="0" fontId="6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7" fillId="2" borderId="1" xfId="0" applyFont="1" applyFill="1" applyBorder="1" applyAlignment="1">
      <alignment horizontal="left" wrapText="1"/>
    </xf>
    <xf numFmtId="0" fontId="7" fillId="8" borderId="1" xfId="0" applyFont="1" applyFill="1" applyBorder="1" applyAlignment="1">
      <alignment horizontal="left" wrapText="1"/>
    </xf>
    <xf numFmtId="0" fontId="7" fillId="2" borderId="17" xfId="0" applyFont="1" applyFill="1" applyBorder="1" applyAlignment="1">
      <alignment wrapText="1"/>
    </xf>
    <xf numFmtId="0" fontId="4" fillId="2" borderId="0" xfId="0" applyFont="1" applyFill="1" applyAlignment="1">
      <alignment horizontal="left" vertical="top" wrapText="1"/>
    </xf>
    <xf numFmtId="0" fontId="3" fillId="0" borderId="14" xfId="1" applyNumberFormat="1" applyFont="1" applyFill="1" applyBorder="1" applyAlignment="1" applyProtection="1">
      <alignment horizontal="right" vertical="top" wrapText="1"/>
    </xf>
    <xf numFmtId="0" fontId="9" fillId="7" borderId="4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4" fillId="2" borderId="22" xfId="1" applyNumberFormat="1" applyFont="1" applyFill="1" applyBorder="1" applyAlignment="1" applyProtection="1">
      <alignment horizontal="right" vertical="center" wrapText="1"/>
    </xf>
    <xf numFmtId="164" fontId="3" fillId="8" borderId="23" xfId="1" applyNumberFormat="1" applyFont="1" applyFill="1" applyBorder="1" applyAlignment="1" applyProtection="1">
      <alignment horizontal="right" vertical="center" wrapText="1"/>
    </xf>
    <xf numFmtId="164" fontId="3" fillId="2" borderId="23" xfId="1" applyNumberFormat="1" applyFont="1" applyFill="1" applyBorder="1" applyAlignment="1" applyProtection="1">
      <alignment horizontal="right" vertical="center" wrapText="1"/>
    </xf>
    <xf numFmtId="164" fontId="3" fillId="2" borderId="7" xfId="1" applyNumberFormat="1" applyFont="1" applyFill="1" applyBorder="1" applyAlignment="1" applyProtection="1">
      <alignment horizontal="right" vertical="center" wrapText="1"/>
    </xf>
    <xf numFmtId="0" fontId="3" fillId="0" borderId="21" xfId="1" applyNumberFormat="1" applyFont="1" applyFill="1" applyBorder="1" applyAlignment="1" applyProtection="1">
      <alignment horizontal="right" vertical="top" wrapText="1"/>
    </xf>
    <xf numFmtId="0" fontId="0" fillId="0" borderId="6" xfId="0" applyBorder="1" applyAlignment="1"/>
    <xf numFmtId="168" fontId="14" fillId="2" borderId="22" xfId="1" applyNumberFormat="1" applyFont="1" applyFill="1" applyBorder="1" applyAlignment="1" applyProtection="1">
      <alignment horizontal="right" vertical="center" wrapText="1"/>
    </xf>
    <xf numFmtId="168" fontId="3" fillId="8" borderId="23" xfId="1" applyNumberFormat="1" applyFont="1" applyFill="1" applyBorder="1" applyAlignment="1" applyProtection="1">
      <alignment horizontal="right" vertical="center" wrapText="1"/>
    </xf>
    <xf numFmtId="168" fontId="3" fillId="2" borderId="23" xfId="1" applyNumberFormat="1" applyFont="1" applyFill="1" applyBorder="1" applyAlignment="1" applyProtection="1">
      <alignment horizontal="right" vertical="center" wrapText="1"/>
    </xf>
    <xf numFmtId="168" fontId="3" fillId="2" borderId="7" xfId="1" applyNumberFormat="1" applyFont="1" applyFill="1" applyBorder="1" applyAlignment="1" applyProtection="1">
      <alignment horizontal="right" vertical="center" wrapText="1"/>
    </xf>
  </cellXfs>
  <cellStyles count="10">
    <cellStyle name="Komma" xfId="1" builtinId="3"/>
    <cellStyle name="Komma 2" xfId="4" xr:uid="{00000000-0005-0000-0000-000001000000}"/>
    <cellStyle name="Komma 3" xfId="5" xr:uid="{00000000-0005-0000-0000-000002000000}"/>
    <cellStyle name="Link" xfId="9" builtinId="8"/>
    <cellStyle name="Normal 2" xfId="6" xr:uid="{00000000-0005-0000-0000-000004000000}"/>
    <cellStyle name="Normal 3" xfId="7" xr:uid="{00000000-0005-0000-0000-000005000000}"/>
    <cellStyle name="Normal_Feuil1" xfId="8" xr:uid="{00000000-0005-0000-0000-000006000000}"/>
    <cellStyle name="Prozent" xfId="2" builtinId="5"/>
    <cellStyle name="Standard" xfId="0" builtinId="0"/>
    <cellStyle name="Standard 2" xfId="3" xr:uid="{00000000-0005-0000-0000-000009000000}"/>
  </cellStyles>
  <dxfs count="0"/>
  <tableStyles count="0" defaultTableStyle="TableStyleMedium2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3590925</xdr:colOff>
      <xdr:row>0</xdr:row>
      <xdr:rowOff>19050</xdr:rowOff>
    </xdr:from>
    <xdr:to>
      <xdr:col>1</xdr:col>
      <xdr:colOff>6257925</xdr:colOff>
      <xdr:row>5</xdr:row>
      <xdr:rowOff>28575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pSpPr/>
      </xdr:nvGrpSpPr>
      <xdr:grpSpPr>
        <a:xfrm>
          <a:off x="5000625" y="19050"/>
          <a:ext cx="2667000" cy="876300"/>
          <a:chOff x="6010275" y="133350"/>
          <a:chExt cx="2047875" cy="819150"/>
        </a:xfrm>
        <a:solidFill>
          <a:srgbClr val="00B0F0"/>
        </a:solidFill>
      </xdr:grpSpPr>
      <xdr:sp macro="" textlink="">
        <xdr:nvSpPr>
          <xdr:cNvPr id="3" name="Rechteck 2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/>
        </xdr:nvSpPr>
        <xdr:spPr>
          <a:xfrm>
            <a:off x="6010275" y="133350"/>
            <a:ext cx="2047875" cy="819150"/>
          </a:xfrm>
          <a:prstGeom prst="rect">
            <a:avLst/>
          </a:prstGeom>
          <a:grp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4" name="Gruppieren 3">
                <a:extLst>
                  <a:ext uri="{FF2B5EF4-FFF2-40B4-BE49-F238E27FC236}">
                    <a16:creationId xmlns:a16="http://schemas.microsoft.com/office/drawing/2014/main" id="{00000000-0008-0000-0000-00001C000000}"/>
                  </a:ext>
                </a:extLst>
              </xdr:cNvPr>
              <xdr:cNvGrpSpPr/>
            </xdr:nvGrpSpPr>
            <xdr:grpSpPr>
              <a:xfrm>
                <a:off x="6553200" y="374277"/>
                <a:ext cx="1200149" cy="533400"/>
                <a:chOff x="6553200" y="374277"/>
                <a:chExt cx="1200149" cy="533400"/>
              </a:xfrm>
              <a:grpFill/>
            </xdr:grpSpPr>
            <xdr:sp macro="" textlink="">
              <xdr:nvSpPr>
                <xdr:cNvPr id="52225" name="Option Button 1" hidden="1">
                  <a:extLst>
                    <a:ext uri="{63B3BB69-23CF-44E3-9099-C40C66FF867C}">
                      <a14:compatExt spid="_x0000_s52225"/>
                    </a:ext>
                    <a:ext uri="{FF2B5EF4-FFF2-40B4-BE49-F238E27FC236}">
                      <a16:creationId xmlns:a16="http://schemas.microsoft.com/office/drawing/2014/main" id="{00000000-0008-0000-0000-000001CC0000}"/>
                    </a:ext>
                  </a:extLst>
                </xdr:cNvPr>
                <xdr:cNvSpPr/>
              </xdr:nvSpPr>
              <xdr:spPr bwMode="auto">
                <a:xfrm>
                  <a:off x="6553200" y="374277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Deutsch</a:t>
                  </a:r>
                </a:p>
              </xdr:txBody>
            </xdr:sp>
            <xdr:sp macro="" textlink="">
              <xdr:nvSpPr>
                <xdr:cNvPr id="52226" name="Option Button 2" hidden="1">
                  <a:extLst>
                    <a:ext uri="{63B3BB69-23CF-44E3-9099-C40C66FF867C}">
                      <a14:compatExt spid="_x0000_s52226"/>
                    </a:ext>
                    <a:ext uri="{FF2B5EF4-FFF2-40B4-BE49-F238E27FC236}">
                      <a16:creationId xmlns:a16="http://schemas.microsoft.com/office/drawing/2014/main" id="{00000000-0008-0000-0000-000002CC0000}"/>
                    </a:ext>
                  </a:extLst>
                </xdr:cNvPr>
                <xdr:cNvSpPr/>
              </xdr:nvSpPr>
              <xdr:spPr bwMode="auto">
                <a:xfrm>
                  <a:off x="6553200" y="545727"/>
                  <a:ext cx="1200149" cy="1905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Rumantsch Grischun</a:t>
                  </a:r>
                </a:p>
              </xdr:txBody>
            </xdr:sp>
            <xdr:sp macro="" textlink="">
              <xdr:nvSpPr>
                <xdr:cNvPr id="52227" name="Option Button 3" hidden="1">
                  <a:extLst>
                    <a:ext uri="{63B3BB69-23CF-44E3-9099-C40C66FF867C}">
                      <a14:compatExt spid="_x0000_s52227"/>
                    </a:ext>
                    <a:ext uri="{FF2B5EF4-FFF2-40B4-BE49-F238E27FC236}">
                      <a16:creationId xmlns:a16="http://schemas.microsoft.com/office/drawing/2014/main" id="{00000000-0008-0000-0000-000003CC0000}"/>
                    </a:ext>
                  </a:extLst>
                </xdr:cNvPr>
                <xdr:cNvSpPr/>
              </xdr:nvSpPr>
              <xdr:spPr bwMode="auto">
                <a:xfrm>
                  <a:off x="6553200" y="698126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Italiano</a:t>
                  </a:r>
                </a:p>
              </xdr:txBody>
            </xdr:sp>
          </xdr:grpSp>
        </mc:Choice>
        <mc:Fallback/>
      </mc:AlternateContent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3559175</xdr:colOff>
      <xdr:row>5</xdr:row>
      <xdr:rowOff>70877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376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3590925</xdr:colOff>
      <xdr:row>0</xdr:row>
      <xdr:rowOff>19050</xdr:rowOff>
    </xdr:from>
    <xdr:to>
      <xdr:col>1</xdr:col>
      <xdr:colOff>6257925</xdr:colOff>
      <xdr:row>5</xdr:row>
      <xdr:rowOff>28575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pSpPr/>
      </xdr:nvGrpSpPr>
      <xdr:grpSpPr>
        <a:xfrm>
          <a:off x="5000625" y="19050"/>
          <a:ext cx="2667000" cy="876300"/>
          <a:chOff x="6010275" y="133350"/>
          <a:chExt cx="2047875" cy="819150"/>
        </a:xfrm>
        <a:solidFill>
          <a:srgbClr val="00B0F0"/>
        </a:solidFill>
      </xdr:grpSpPr>
      <xdr:sp macro="" textlink="">
        <xdr:nvSpPr>
          <xdr:cNvPr id="3" name="Rechteck 2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/>
        </xdr:nvSpPr>
        <xdr:spPr>
          <a:xfrm>
            <a:off x="6010275" y="133350"/>
            <a:ext cx="2047875" cy="819150"/>
          </a:xfrm>
          <a:prstGeom prst="rect">
            <a:avLst/>
          </a:prstGeom>
          <a:grp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4" name="Gruppieren 3">
                <a:extLst>
                  <a:ext uri="{FF2B5EF4-FFF2-40B4-BE49-F238E27FC236}">
                    <a16:creationId xmlns:a16="http://schemas.microsoft.com/office/drawing/2014/main" id="{00000000-0008-0000-0000-00001C000000}"/>
                  </a:ext>
                </a:extLst>
              </xdr:cNvPr>
              <xdr:cNvGrpSpPr/>
            </xdr:nvGrpSpPr>
            <xdr:grpSpPr>
              <a:xfrm>
                <a:off x="6553200" y="374277"/>
                <a:ext cx="1200149" cy="533400"/>
                <a:chOff x="6553200" y="374277"/>
                <a:chExt cx="1200149" cy="533400"/>
              </a:xfrm>
              <a:grpFill/>
            </xdr:grpSpPr>
            <xdr:sp macro="" textlink="">
              <xdr:nvSpPr>
                <xdr:cNvPr id="58369" name="Option Button 1" hidden="1">
                  <a:extLst>
                    <a:ext uri="{63B3BB69-23CF-44E3-9099-C40C66FF867C}">
                      <a14:compatExt spid="_x0000_s58369"/>
                    </a:ext>
                    <a:ext uri="{FF2B5EF4-FFF2-40B4-BE49-F238E27FC236}">
                      <a16:creationId xmlns:a16="http://schemas.microsoft.com/office/drawing/2014/main" id="{00000000-0008-0000-0100-000001E40000}"/>
                    </a:ext>
                  </a:extLst>
                </xdr:cNvPr>
                <xdr:cNvSpPr/>
              </xdr:nvSpPr>
              <xdr:spPr bwMode="auto">
                <a:xfrm>
                  <a:off x="6553200" y="374277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Deutsch</a:t>
                  </a:r>
                </a:p>
              </xdr:txBody>
            </xdr:sp>
            <xdr:sp macro="" textlink="">
              <xdr:nvSpPr>
                <xdr:cNvPr id="58370" name="Option Button 2" hidden="1">
                  <a:extLst>
                    <a:ext uri="{63B3BB69-23CF-44E3-9099-C40C66FF867C}">
                      <a14:compatExt spid="_x0000_s58370"/>
                    </a:ext>
                    <a:ext uri="{FF2B5EF4-FFF2-40B4-BE49-F238E27FC236}">
                      <a16:creationId xmlns:a16="http://schemas.microsoft.com/office/drawing/2014/main" id="{00000000-0008-0000-0100-000002E40000}"/>
                    </a:ext>
                  </a:extLst>
                </xdr:cNvPr>
                <xdr:cNvSpPr/>
              </xdr:nvSpPr>
              <xdr:spPr bwMode="auto">
                <a:xfrm>
                  <a:off x="6553200" y="545727"/>
                  <a:ext cx="1200149" cy="1905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Rumantsch Grischun</a:t>
                  </a:r>
                </a:p>
              </xdr:txBody>
            </xdr:sp>
            <xdr:sp macro="" textlink="">
              <xdr:nvSpPr>
                <xdr:cNvPr id="58371" name="Option Button 3" hidden="1">
                  <a:extLst>
                    <a:ext uri="{63B3BB69-23CF-44E3-9099-C40C66FF867C}">
                      <a14:compatExt spid="_x0000_s58371"/>
                    </a:ext>
                    <a:ext uri="{FF2B5EF4-FFF2-40B4-BE49-F238E27FC236}">
                      <a16:creationId xmlns:a16="http://schemas.microsoft.com/office/drawing/2014/main" id="{00000000-0008-0000-0100-000003E40000}"/>
                    </a:ext>
                  </a:extLst>
                </xdr:cNvPr>
                <xdr:cNvSpPr/>
              </xdr:nvSpPr>
              <xdr:spPr bwMode="auto">
                <a:xfrm>
                  <a:off x="6553200" y="698126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Italiano</a:t>
                  </a:r>
                </a:p>
              </xdr:txBody>
            </xdr:sp>
          </xdr:grpSp>
        </mc:Choice>
        <mc:Fallback/>
      </mc:AlternateContent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3559175</xdr:colOff>
      <xdr:row>5</xdr:row>
      <xdr:rowOff>70877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376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29"/>
  <sheetViews>
    <sheetView showGridLines="0" tabSelected="1" zoomScaleNormal="100" workbookViewId="0"/>
  </sheetViews>
  <sheetFormatPr baseColWidth="10" defaultColWidth="9.140625" defaultRowHeight="14.25" x14ac:dyDescent="0.2"/>
  <cols>
    <col min="1" max="1" width="21.140625" style="23" customWidth="1"/>
    <col min="2" max="2" width="116.140625" style="81" customWidth="1"/>
    <col min="3" max="3" width="5" style="23" customWidth="1"/>
    <col min="4" max="12" width="16.7109375" style="23" customWidth="1"/>
    <col min="13" max="13" width="5" style="23" customWidth="1"/>
    <col min="14" max="20" width="16.7109375" style="23" customWidth="1"/>
    <col min="21" max="22" width="16.7109375" style="27" customWidth="1"/>
    <col min="23" max="16384" width="9.140625" style="27"/>
  </cols>
  <sheetData>
    <row r="1" spans="1:22" s="25" customFormat="1" ht="12.75" x14ac:dyDescent="0.2">
      <c r="A1" s="1"/>
      <c r="B1" s="78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2" s="25" customFormat="1" x14ac:dyDescent="0.2">
      <c r="A2" s="1"/>
      <c r="B2" s="78"/>
      <c r="C2" s="23"/>
      <c r="D2" s="23"/>
      <c r="E2" s="23"/>
      <c r="F2" s="1"/>
      <c r="G2" s="1"/>
      <c r="H2" s="1"/>
      <c r="I2" s="1"/>
      <c r="J2" s="1"/>
      <c r="K2" s="1"/>
      <c r="L2" s="1"/>
      <c r="M2" s="23"/>
      <c r="N2" s="23"/>
      <c r="O2" s="23"/>
      <c r="P2" s="1"/>
      <c r="Q2" s="1"/>
      <c r="R2" s="1"/>
      <c r="S2" s="1"/>
      <c r="T2" s="1"/>
    </row>
    <row r="3" spans="1:22" s="25" customFormat="1" x14ac:dyDescent="0.2">
      <c r="A3" s="1"/>
      <c r="B3" s="78"/>
      <c r="C3" s="23"/>
      <c r="D3" s="23"/>
      <c r="E3" s="23"/>
      <c r="F3" s="1"/>
      <c r="G3" s="1"/>
      <c r="H3" s="1"/>
      <c r="I3" s="1"/>
      <c r="J3" s="1"/>
      <c r="K3" s="1"/>
      <c r="L3" s="1"/>
      <c r="M3" s="23"/>
      <c r="N3" s="23"/>
      <c r="O3" s="23"/>
      <c r="P3" s="1"/>
      <c r="Q3" s="1"/>
      <c r="R3" s="1"/>
      <c r="S3" s="1"/>
      <c r="T3" s="1"/>
    </row>
    <row r="4" spans="1:22" s="25" customFormat="1" x14ac:dyDescent="0.2">
      <c r="A4" s="1"/>
      <c r="B4" s="78"/>
      <c r="C4" s="23"/>
      <c r="D4" s="23"/>
      <c r="E4" s="23"/>
      <c r="F4" s="1"/>
      <c r="G4" s="1"/>
      <c r="H4" s="1"/>
      <c r="I4" s="1"/>
      <c r="J4" s="1"/>
      <c r="K4" s="1"/>
      <c r="L4" s="1"/>
      <c r="M4" s="23"/>
      <c r="N4" s="23"/>
      <c r="O4" s="23"/>
      <c r="P4" s="1"/>
      <c r="Q4" s="1"/>
      <c r="R4" s="1"/>
      <c r="S4" s="1"/>
      <c r="T4" s="1"/>
    </row>
    <row r="5" spans="1:22" s="25" customFormat="1" ht="12.75" x14ac:dyDescent="0.2">
      <c r="A5" s="1"/>
      <c r="B5" s="78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2" s="25" customFormat="1" ht="12.75" x14ac:dyDescent="0.2">
      <c r="A6" s="1"/>
      <c r="B6" s="78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2" s="25" customFormat="1" ht="15.75" customHeight="1" x14ac:dyDescent="0.2">
      <c r="A7" s="86" t="str">
        <f>VLOOKUP("&lt;Fachbereich&gt;",Uebersetzungen!$B$3:$E$247,Uebersetzungen!$B$2+1,FALSE)</f>
        <v>Daten &amp; Statistik</v>
      </c>
      <c r="B7" s="86"/>
      <c r="C7" s="86"/>
      <c r="D7" s="86"/>
      <c r="E7" s="29"/>
      <c r="F7" s="2"/>
      <c r="G7" s="2"/>
      <c r="H7" s="2"/>
      <c r="I7" s="2"/>
      <c r="J7" s="2"/>
      <c r="K7" s="31"/>
      <c r="L7" s="31"/>
      <c r="O7" s="29"/>
      <c r="P7" s="2"/>
      <c r="Q7" s="2"/>
      <c r="R7" s="2"/>
      <c r="S7" s="2"/>
      <c r="T7" s="2"/>
    </row>
    <row r="8" spans="1:22" s="25" customFormat="1" ht="12.75" x14ac:dyDescent="0.2">
      <c r="A8" s="1"/>
      <c r="B8" s="78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2" s="26" customFormat="1" ht="18" x14ac:dyDescent="0.2">
      <c r="A9" s="9" t="str">
        <f>VLOOKUP("&lt;Titel&gt;",Uebersetzungen!$B$3:$E$931,Uebersetzungen!$B$2+1,FALSE)</f>
        <v>Exporte aus Graubünden seit 2016</v>
      </c>
      <c r="B9" s="79"/>
      <c r="C9" s="24"/>
      <c r="D9" s="24"/>
      <c r="E9" s="24"/>
      <c r="F9" s="24"/>
      <c r="G9" s="24"/>
      <c r="H9" s="24"/>
      <c r="I9" s="24"/>
      <c r="J9" s="24"/>
      <c r="K9" s="34"/>
      <c r="L9" s="34"/>
      <c r="M9" s="24"/>
      <c r="N9" s="24"/>
      <c r="O9" s="24"/>
      <c r="P9" s="24"/>
      <c r="Q9" s="24"/>
      <c r="R9" s="24"/>
      <c r="S9" s="24"/>
      <c r="T9" s="24"/>
    </row>
    <row r="10" spans="1:22" s="26" customFormat="1" ht="12.75" x14ac:dyDescent="0.2">
      <c r="A10" s="10"/>
      <c r="B10" s="80"/>
      <c r="C10" s="24"/>
      <c r="D10" s="24"/>
      <c r="E10" s="24"/>
      <c r="F10" s="24"/>
      <c r="G10" s="24"/>
      <c r="H10" s="24"/>
      <c r="I10" s="24"/>
      <c r="J10" s="24"/>
      <c r="K10" s="35"/>
      <c r="L10" s="35"/>
      <c r="M10" s="24"/>
      <c r="N10" s="24"/>
      <c r="O10" s="24"/>
      <c r="P10" s="24"/>
      <c r="Q10" s="24"/>
      <c r="R10" s="24"/>
      <c r="S10" s="24"/>
      <c r="T10" s="24"/>
    </row>
    <row r="11" spans="1:22" ht="18.75" thickBot="1" x14ac:dyDescent="0.3">
      <c r="C11" s="8"/>
      <c r="D11" s="4"/>
      <c r="E11" s="4"/>
      <c r="F11" s="4"/>
      <c r="G11" s="4"/>
      <c r="H11" s="4"/>
      <c r="I11" s="4"/>
      <c r="J11" s="4"/>
      <c r="M11" s="8"/>
      <c r="N11" s="4"/>
      <c r="O11" s="4"/>
      <c r="P11" s="4"/>
      <c r="Q11" s="4"/>
      <c r="R11" s="4"/>
      <c r="S11" s="4"/>
      <c r="T11" s="4"/>
    </row>
    <row r="12" spans="1:22" s="28" customFormat="1" ht="37.5" customHeight="1" thickBot="1" x14ac:dyDescent="0.3">
      <c r="A12" s="3"/>
      <c r="B12" s="82"/>
      <c r="C12" s="3"/>
      <c r="D12" s="88" t="str">
        <f>VLOOKUP("&lt;SpaltenTitel_1&gt;",Uebersetzungen!$B$3:$E$513,Uebersetzungen!$B$2+1,FALSE)</f>
        <v>Wert in Tausend Franken</v>
      </c>
      <c r="E12" s="89"/>
      <c r="F12" s="89"/>
      <c r="G12" s="89"/>
      <c r="H12" s="89"/>
      <c r="I12" s="89"/>
      <c r="J12" s="89"/>
      <c r="K12" s="89"/>
      <c r="L12" s="90"/>
      <c r="M12" s="3"/>
      <c r="N12" s="88" t="str">
        <f>VLOOKUP("&lt;SpaltenTitel_2&gt;",Uebersetzungen!$B$3:$E$513,Uebersetzungen!$B$2+1,FALSE)</f>
        <v>Veränderung gegenüber Vorjahr (in Prozent)</v>
      </c>
      <c r="O12" s="89"/>
      <c r="P12" s="89"/>
      <c r="Q12" s="89"/>
      <c r="R12" s="89"/>
      <c r="S12" s="89"/>
      <c r="T12" s="89"/>
      <c r="U12" s="89"/>
      <c r="V12" s="96"/>
    </row>
    <row r="13" spans="1:22" s="28" customFormat="1" ht="30" customHeight="1" thickBot="1" x14ac:dyDescent="0.3">
      <c r="A13" s="74" t="str">
        <f>VLOOKUP("&lt;Zeilentitel_1&gt;",Uebersetzungen!$B$3:$E$931,Uebersetzungen!$B$2+1,FALSE)</f>
        <v>CPA Code</v>
      </c>
      <c r="B13" s="72" t="str">
        <f>VLOOKUP("&lt;Zeilentitel_1.1&gt;",Uebersetzungen!$B$3:$E$931,Uebersetzungen!$B$2+1,FALSE)</f>
        <v xml:space="preserve">Statistische Güterklassifikation in Verbindung mit den Wirtschaftszweigen (CPA) </v>
      </c>
      <c r="C13" s="32"/>
      <c r="D13" s="38">
        <v>2016</v>
      </c>
      <c r="E13" s="40">
        <v>2017</v>
      </c>
      <c r="F13" s="87">
        <v>2018</v>
      </c>
      <c r="G13" s="41">
        <v>2019</v>
      </c>
      <c r="H13" s="41">
        <v>2020</v>
      </c>
      <c r="I13" s="41">
        <v>2021</v>
      </c>
      <c r="J13" s="41">
        <v>2022</v>
      </c>
      <c r="K13" s="40">
        <v>2023</v>
      </c>
      <c r="L13" s="95">
        <v>2024</v>
      </c>
      <c r="M13" s="32"/>
      <c r="N13" s="38">
        <v>2016</v>
      </c>
      <c r="O13" s="40">
        <v>2017</v>
      </c>
      <c r="P13" s="87">
        <v>2018</v>
      </c>
      <c r="Q13" s="41">
        <v>2019</v>
      </c>
      <c r="R13" s="41">
        <v>2020</v>
      </c>
      <c r="S13" s="41">
        <v>2021</v>
      </c>
      <c r="T13" s="41">
        <v>2022</v>
      </c>
      <c r="U13" s="40">
        <v>2023</v>
      </c>
      <c r="V13" s="95">
        <v>2024</v>
      </c>
    </row>
    <row r="14" spans="1:22" s="26" customFormat="1" x14ac:dyDescent="0.2">
      <c r="A14" s="75" t="str">
        <f>VLOOKUP("&lt;Zeilentitel_2&gt;",Uebersetzungen!$B$3:$E$931,Uebersetzungen!$B$2+1,FALSE)</f>
        <v>00</v>
      </c>
      <c r="B14" s="83" t="str">
        <f>VLOOKUP("&lt;Zeilentitel_2.1&gt;",Uebersetzungen!$B$3:$E$931,Uebersetzungen!$B$2+1,FALSE)</f>
        <v>TOTAL</v>
      </c>
      <c r="C14" s="33"/>
      <c r="D14" s="60">
        <v>2424608.9795161001</v>
      </c>
      <c r="E14" s="61">
        <v>2645860.57793148</v>
      </c>
      <c r="F14" s="61">
        <v>2951186.9673942397</v>
      </c>
      <c r="G14" s="61">
        <v>2592103.7978215097</v>
      </c>
      <c r="H14" s="61">
        <v>2615646.9806922404</v>
      </c>
      <c r="I14" s="61">
        <v>3067097.57944594</v>
      </c>
      <c r="J14" s="61">
        <v>3061039.93993404</v>
      </c>
      <c r="K14" s="91">
        <v>2703247.5398658798</v>
      </c>
      <c r="L14" s="62">
        <v>2546840.7150022704</v>
      </c>
      <c r="M14" s="42"/>
      <c r="N14" s="48" t="s">
        <v>673</v>
      </c>
      <c r="O14" s="49">
        <v>9.1252486600762008</v>
      </c>
      <c r="P14" s="49">
        <v>11.5397762077646</v>
      </c>
      <c r="Q14" s="49">
        <v>-12.167415129573399</v>
      </c>
      <c r="R14" s="49">
        <v>0.90826543638069701</v>
      </c>
      <c r="S14" s="49">
        <v>17.259615004859299</v>
      </c>
      <c r="T14" s="49">
        <v>-0.197503970936493</v>
      </c>
      <c r="U14" s="97">
        <v>-11.6885897305824</v>
      </c>
      <c r="V14" s="50">
        <v>-5.7858861446102399</v>
      </c>
    </row>
    <row r="15" spans="1:22" s="26" customFormat="1" x14ac:dyDescent="0.2">
      <c r="A15" s="77" t="str">
        <f>VLOOKUP("&lt;Zeilentitel_3&gt;",Uebersetzungen!$B$3:$E$931,Uebersetzungen!$B$2+1,FALSE)</f>
        <v>A</v>
      </c>
      <c r="B15" s="84" t="str">
        <f>VLOOKUP("&lt;Zeilentitel_3.1&gt;",Uebersetzungen!$B$3:$E$931,Uebersetzungen!$B$2+1,FALSE)</f>
        <v>ERZEUGNISSE DER LANDWIRTSCHAFT, FORSTWIRTSCHAFT UND FISCHEREI</v>
      </c>
      <c r="C15" s="32"/>
      <c r="D15" s="45">
        <v>16560.8520947465</v>
      </c>
      <c r="E15" s="63">
        <v>16422.023209407402</v>
      </c>
      <c r="F15" s="63">
        <v>19137.097607208798</v>
      </c>
      <c r="G15" s="63">
        <v>13955.2748370847</v>
      </c>
      <c r="H15" s="63">
        <v>10775.8829559527</v>
      </c>
      <c r="I15" s="63">
        <v>14909.9399340944</v>
      </c>
      <c r="J15" s="63">
        <v>17411.168057517301</v>
      </c>
      <c r="K15" s="92">
        <v>13313.0646813023</v>
      </c>
      <c r="L15" s="64">
        <v>9650.4027936004695</v>
      </c>
      <c r="M15" s="43"/>
      <c r="N15" s="51" t="s">
        <v>673</v>
      </c>
      <c r="O15" s="52">
        <v>-0.83829554508931703</v>
      </c>
      <c r="P15" s="52">
        <v>16.533129707465498</v>
      </c>
      <c r="Q15" s="52">
        <v>-27.077370228660701</v>
      </c>
      <c r="R15" s="52">
        <v>-22.782724942708601</v>
      </c>
      <c r="S15" s="52">
        <v>38.363974395787402</v>
      </c>
      <c r="T15" s="52">
        <v>16.775574780844</v>
      </c>
      <c r="U15" s="98">
        <v>-23.537211074392001</v>
      </c>
      <c r="V15" s="53">
        <v>-27.511786169310199</v>
      </c>
    </row>
    <row r="16" spans="1:22" s="26" customFormat="1" x14ac:dyDescent="0.2">
      <c r="A16" s="75" t="str">
        <f>VLOOKUP("&lt;Zeilentitel_4&gt;",Uebersetzungen!$B$3:$E$931,Uebersetzungen!$B$2+1,FALSE)</f>
        <v>A01</v>
      </c>
      <c r="B16" s="83" t="str">
        <f>VLOOKUP("&lt;Zeilentitel_4.1&gt;",Uebersetzungen!$B$3:$E$931,Uebersetzungen!$B$2+1,FALSE)</f>
        <v>Erzeugnisse der Landwirtschaft und Jagd sowie damit verbundene Dienstleistungen</v>
      </c>
      <c r="C16" s="32"/>
      <c r="D16" s="46">
        <v>1235.7047948603199</v>
      </c>
      <c r="E16" s="65">
        <v>938.83116194742104</v>
      </c>
      <c r="F16" s="65">
        <v>1104.3024561852001</v>
      </c>
      <c r="G16" s="65">
        <v>963.54645603250003</v>
      </c>
      <c r="H16" s="65">
        <v>789.13015008617799</v>
      </c>
      <c r="I16" s="65">
        <v>1016.8132649435</v>
      </c>
      <c r="J16" s="65">
        <v>693.05706236183005</v>
      </c>
      <c r="K16" s="93">
        <v>673.39310043247906</v>
      </c>
      <c r="L16" s="66">
        <v>602.637420832624</v>
      </c>
      <c r="M16" s="44"/>
      <c r="N16" s="54" t="s">
        <v>673</v>
      </c>
      <c r="O16" s="55">
        <v>-24.024640362948102</v>
      </c>
      <c r="P16" s="55">
        <v>17.625245192600701</v>
      </c>
      <c r="Q16" s="55">
        <v>-12.7461457107445</v>
      </c>
      <c r="R16" s="55">
        <v>-18.101494209682301</v>
      </c>
      <c r="S16" s="55">
        <v>28.8524161486494</v>
      </c>
      <c r="T16" s="55">
        <v>-31.840281174898202</v>
      </c>
      <c r="U16" s="99">
        <v>-2.8372789193345098</v>
      </c>
      <c r="V16" s="56">
        <v>-10.5073365845911</v>
      </c>
    </row>
    <row r="17" spans="1:22" s="26" customFormat="1" x14ac:dyDescent="0.2">
      <c r="A17" s="75" t="str">
        <f>VLOOKUP("&lt;Zeilentitel_5&gt;",Uebersetzungen!$B$3:$E$931,Uebersetzungen!$B$2+1,FALSE)</f>
        <v>A02</v>
      </c>
      <c r="B17" s="83" t="str">
        <f>VLOOKUP("&lt;Zeilentitel_5.1&gt;",Uebersetzungen!$B$3:$E$931,Uebersetzungen!$B$2+1,FALSE)</f>
        <v>Forstwirtschaftliche Erzeugnisse und Dienstleistungen</v>
      </c>
      <c r="C17" s="32"/>
      <c r="D17" s="46">
        <v>15324.5815625501</v>
      </c>
      <c r="E17" s="65">
        <v>15429.527464397899</v>
      </c>
      <c r="F17" s="65">
        <v>18030.7003679886</v>
      </c>
      <c r="G17" s="65">
        <v>12991.0731846938</v>
      </c>
      <c r="H17" s="65">
        <v>9986.6374837638305</v>
      </c>
      <c r="I17" s="65">
        <v>13893.1025128697</v>
      </c>
      <c r="J17" s="65">
        <v>16717.947984273102</v>
      </c>
      <c r="K17" s="93">
        <v>12639.671579428601</v>
      </c>
      <c r="L17" s="66">
        <v>9047.5720523390009</v>
      </c>
      <c r="M17" s="44"/>
      <c r="N17" s="54" t="s">
        <v>673</v>
      </c>
      <c r="O17" s="55">
        <v>0.68482066814907105</v>
      </c>
      <c r="P17" s="55">
        <v>16.858409368613099</v>
      </c>
      <c r="Q17" s="55">
        <v>-27.950257507700901</v>
      </c>
      <c r="R17" s="55">
        <v>-23.126924605966</v>
      </c>
      <c r="S17" s="55">
        <v>39.116920339373401</v>
      </c>
      <c r="T17" s="55">
        <v>20.332718835023201</v>
      </c>
      <c r="U17" s="99">
        <v>-24.394599197706501</v>
      </c>
      <c r="V17" s="56">
        <v>-28.419247323924498</v>
      </c>
    </row>
    <row r="18" spans="1:22" s="26" customFormat="1" x14ac:dyDescent="0.2">
      <c r="A18" s="75" t="str">
        <f>VLOOKUP("&lt;Zeilentitel_6&gt;",Uebersetzungen!$B$3:$E$931,Uebersetzungen!$B$2+1,FALSE)</f>
        <v>A03</v>
      </c>
      <c r="B18" s="83" t="str">
        <f>VLOOKUP("&lt;Zeilentitel_6.1&gt;",Uebersetzungen!$B$3:$E$931,Uebersetzungen!$B$2+1,FALSE)</f>
        <v>Fische und Fischereierzeugnisse; Aquakulturerzeugnisse; Dienstleistungen für die Fischerei</v>
      </c>
      <c r="C18" s="32"/>
      <c r="D18" s="46">
        <v>0.56573733603506104</v>
      </c>
      <c r="E18" s="65">
        <v>53.664583062135002</v>
      </c>
      <c r="F18" s="65">
        <v>2.0947830350113201</v>
      </c>
      <c r="G18" s="65">
        <v>0.65519635837095203</v>
      </c>
      <c r="H18" s="65">
        <v>0.115322102658998</v>
      </c>
      <c r="I18" s="65">
        <v>2.41562811397045E-2</v>
      </c>
      <c r="J18" s="65">
        <v>0.163010882379614</v>
      </c>
      <c r="K18" s="93">
        <v>1.44124200470998E-6</v>
      </c>
      <c r="L18" s="66">
        <v>0.1933204288475</v>
      </c>
      <c r="M18" s="44"/>
      <c r="N18" s="54" t="s">
        <v>673</v>
      </c>
      <c r="O18" s="55" t="s">
        <v>674</v>
      </c>
      <c r="P18" s="55">
        <v>-96.096526022412405</v>
      </c>
      <c r="Q18" s="55">
        <v>-68.7224716154238</v>
      </c>
      <c r="R18" s="55">
        <v>-82.3988486526804</v>
      </c>
      <c r="S18" s="55">
        <v>-79.0532078563174</v>
      </c>
      <c r="T18" s="55">
        <v>574.817789364443</v>
      </c>
      <c r="U18" s="99">
        <v>-99.999115861478899</v>
      </c>
      <c r="V18" s="56" t="s">
        <v>674</v>
      </c>
    </row>
    <row r="19" spans="1:22" s="26" customFormat="1" x14ac:dyDescent="0.2">
      <c r="A19" s="77" t="str">
        <f>VLOOKUP("&lt;Zeilentitel_7&gt;",Uebersetzungen!$B$3:$E$931,Uebersetzungen!$B$2+1,FALSE)</f>
        <v>B</v>
      </c>
      <c r="B19" s="84" t="str">
        <f>VLOOKUP("&lt;Zeilentitel_7.1&gt;",Uebersetzungen!$B$3:$E$931,Uebersetzungen!$B$2+1,FALSE)</f>
        <v>BERGBAUERZEUGNISSE; STEINE UND ERDEN</v>
      </c>
      <c r="C19" s="32"/>
      <c r="D19" s="45">
        <v>1737.74548934666</v>
      </c>
      <c r="E19" s="63">
        <v>2185.2748782208901</v>
      </c>
      <c r="F19" s="63">
        <v>1792.6812862102001</v>
      </c>
      <c r="G19" s="63">
        <v>1824.0551443358002</v>
      </c>
      <c r="H19" s="63">
        <v>1935.69325294501</v>
      </c>
      <c r="I19" s="63">
        <v>1544.3479214560498</v>
      </c>
      <c r="J19" s="63">
        <v>1253.2320870135602</v>
      </c>
      <c r="K19" s="92">
        <v>1752.71245007164</v>
      </c>
      <c r="L19" s="64">
        <v>1457.2043795105601</v>
      </c>
      <c r="M19" s="43"/>
      <c r="N19" s="51" t="s">
        <v>673</v>
      </c>
      <c r="O19" s="52">
        <v>25.7534484547846</v>
      </c>
      <c r="P19" s="52">
        <v>-17.965410023397801</v>
      </c>
      <c r="Q19" s="52">
        <v>1.7501079732877001</v>
      </c>
      <c r="R19" s="52">
        <v>6.1203253068238404</v>
      </c>
      <c r="S19" s="52">
        <v>-20.217321669823502</v>
      </c>
      <c r="T19" s="52">
        <v>-18.850404782363999</v>
      </c>
      <c r="U19" s="98">
        <v>39.855376209552901</v>
      </c>
      <c r="V19" s="53">
        <v>-16.860042875202101</v>
      </c>
    </row>
    <row r="20" spans="1:22" s="26" customFormat="1" x14ac:dyDescent="0.2">
      <c r="A20" s="75" t="str">
        <f>VLOOKUP("&lt;Zeilentitel_8&gt;",Uebersetzungen!$B$3:$E$931,Uebersetzungen!$B$2+1,FALSE)</f>
        <v>B05</v>
      </c>
      <c r="B20" s="83" t="str">
        <f>VLOOKUP("&lt;Zeilentitel_8.1&gt;",Uebersetzungen!$B$3:$E$931,Uebersetzungen!$B$2+1,FALSE)</f>
        <v>Kohle</v>
      </c>
      <c r="C20" s="32"/>
      <c r="D20" s="46" t="s">
        <v>673</v>
      </c>
      <c r="E20" s="65" t="s">
        <v>673</v>
      </c>
      <c r="F20" s="65" t="s">
        <v>673</v>
      </c>
      <c r="G20" s="65" t="s">
        <v>673</v>
      </c>
      <c r="H20" s="65" t="s">
        <v>673</v>
      </c>
      <c r="I20" s="65" t="s">
        <v>673</v>
      </c>
      <c r="J20" s="65" t="s">
        <v>673</v>
      </c>
      <c r="K20" s="93" t="s">
        <v>673</v>
      </c>
      <c r="L20" s="66" t="s">
        <v>673</v>
      </c>
      <c r="M20" s="44"/>
      <c r="N20" s="54" t="s">
        <v>673</v>
      </c>
      <c r="O20" s="55" t="s">
        <v>673</v>
      </c>
      <c r="P20" s="55" t="s">
        <v>673</v>
      </c>
      <c r="Q20" s="55" t="s">
        <v>673</v>
      </c>
      <c r="R20" s="55" t="s">
        <v>673</v>
      </c>
      <c r="S20" s="55" t="s">
        <v>673</v>
      </c>
      <c r="T20" s="55" t="s">
        <v>673</v>
      </c>
      <c r="U20" s="99" t="s">
        <v>673</v>
      </c>
      <c r="V20" s="56" t="s">
        <v>673</v>
      </c>
    </row>
    <row r="21" spans="1:22" s="26" customFormat="1" x14ac:dyDescent="0.2">
      <c r="A21" s="75" t="str">
        <f>VLOOKUP("&lt;Zeilentitel_9&gt;",Uebersetzungen!$B$3:$E$931,Uebersetzungen!$B$2+1,FALSE)</f>
        <v>B06</v>
      </c>
      <c r="B21" s="83" t="str">
        <f>VLOOKUP("&lt;Zeilentitel_9.1&gt;",Uebersetzungen!$B$3:$E$931,Uebersetzungen!$B$2+1,FALSE)</f>
        <v>Erdöl und Erdgas</v>
      </c>
      <c r="C21" s="32"/>
      <c r="D21" s="46">
        <v>8.4653742959343609E-2</v>
      </c>
      <c r="E21" s="65">
        <v>5.0723871922223396E-5</v>
      </c>
      <c r="F21" s="65" t="s">
        <v>673</v>
      </c>
      <c r="G21" s="65" t="s">
        <v>673</v>
      </c>
      <c r="H21" s="65" t="s">
        <v>673</v>
      </c>
      <c r="I21" s="65" t="s">
        <v>673</v>
      </c>
      <c r="J21" s="65" t="s">
        <v>673</v>
      </c>
      <c r="K21" s="93" t="s">
        <v>673</v>
      </c>
      <c r="L21" s="66" t="s">
        <v>673</v>
      </c>
      <c r="M21" s="44"/>
      <c r="N21" s="54" t="s">
        <v>673</v>
      </c>
      <c r="O21" s="55">
        <v>-99.940080768848503</v>
      </c>
      <c r="P21" s="55" t="s">
        <v>673</v>
      </c>
      <c r="Q21" s="55" t="s">
        <v>673</v>
      </c>
      <c r="R21" s="55" t="s">
        <v>673</v>
      </c>
      <c r="S21" s="55" t="s">
        <v>673</v>
      </c>
      <c r="T21" s="55" t="s">
        <v>673</v>
      </c>
      <c r="U21" s="99" t="s">
        <v>673</v>
      </c>
      <c r="V21" s="56" t="s">
        <v>673</v>
      </c>
    </row>
    <row r="22" spans="1:22" s="26" customFormat="1" x14ac:dyDescent="0.2">
      <c r="A22" s="75" t="str">
        <f>VLOOKUP("&lt;Zeilentitel_10&gt;",Uebersetzungen!$B$3:$E$931,Uebersetzungen!$B$2+1,FALSE)</f>
        <v>B07</v>
      </c>
      <c r="B22" s="83" t="str">
        <f>VLOOKUP("&lt;Zeilentitel_10.1&gt;",Uebersetzungen!$B$3:$E$931,Uebersetzungen!$B$2+1,FALSE)</f>
        <v>Erze</v>
      </c>
      <c r="C22" s="32"/>
      <c r="D22" s="46" t="s">
        <v>673</v>
      </c>
      <c r="E22" s="65">
        <v>8.2625886067253494E-4</v>
      </c>
      <c r="F22" s="65">
        <v>4.7209911841791805E-3</v>
      </c>
      <c r="G22" s="65" t="s">
        <v>673</v>
      </c>
      <c r="H22" s="65" t="s">
        <v>673</v>
      </c>
      <c r="I22" s="65" t="s">
        <v>673</v>
      </c>
      <c r="J22" s="65">
        <v>5.0000000000000001E-3</v>
      </c>
      <c r="K22" s="93" t="s">
        <v>673</v>
      </c>
      <c r="L22" s="66">
        <v>1.7999999999999999E-2</v>
      </c>
      <c r="M22" s="44"/>
      <c r="N22" s="54" t="s">
        <v>673</v>
      </c>
      <c r="O22" s="55" t="s">
        <v>673</v>
      </c>
      <c r="P22" s="55">
        <v>471.36950765484301</v>
      </c>
      <c r="Q22" s="55" t="s">
        <v>673</v>
      </c>
      <c r="R22" s="55" t="s">
        <v>673</v>
      </c>
      <c r="S22" s="55" t="s">
        <v>673</v>
      </c>
      <c r="T22" s="55" t="s">
        <v>673</v>
      </c>
      <c r="U22" s="99" t="s">
        <v>673</v>
      </c>
      <c r="V22" s="56" t="s">
        <v>673</v>
      </c>
    </row>
    <row r="23" spans="1:22" s="26" customFormat="1" x14ac:dyDescent="0.2">
      <c r="A23" s="75" t="str">
        <f>VLOOKUP("&lt;Zeilentitel_11&gt;",Uebersetzungen!$B$3:$E$931,Uebersetzungen!$B$2+1,FALSE)</f>
        <v>B08</v>
      </c>
      <c r="B23" s="83" t="str">
        <f>VLOOKUP("&lt;Zeilentitel_11.1&gt;",Uebersetzungen!$B$3:$E$931,Uebersetzungen!$B$2+1,FALSE)</f>
        <v>Steine und Erden; sonstige Bergbauerzeugnisse</v>
      </c>
      <c r="C23" s="32"/>
      <c r="D23" s="46">
        <v>1737.6608356037</v>
      </c>
      <c r="E23" s="65">
        <v>2185.2740012381601</v>
      </c>
      <c r="F23" s="65">
        <v>1792.6765652190199</v>
      </c>
      <c r="G23" s="65">
        <v>1824.0551443358002</v>
      </c>
      <c r="H23" s="65">
        <v>1935.69325294501</v>
      </c>
      <c r="I23" s="65">
        <v>1544.3479214560498</v>
      </c>
      <c r="J23" s="65">
        <v>1253.2270870135601</v>
      </c>
      <c r="K23" s="93">
        <v>1752.71245007164</v>
      </c>
      <c r="L23" s="66">
        <v>1457.1863795105601</v>
      </c>
      <c r="M23" s="44"/>
      <c r="N23" s="54" t="s">
        <v>673</v>
      </c>
      <c r="O23" s="55">
        <v>25.759524325065001</v>
      </c>
      <c r="P23" s="55">
        <v>-17.965593138283801</v>
      </c>
      <c r="Q23" s="55">
        <v>1.75037593091715</v>
      </c>
      <c r="R23" s="55">
        <v>6.1203253068238599</v>
      </c>
      <c r="S23" s="55">
        <v>-20.217321669823502</v>
      </c>
      <c r="T23" s="55">
        <v>-18.8507285436053</v>
      </c>
      <c r="U23" s="99">
        <v>39.855934190535102</v>
      </c>
      <c r="V23" s="56">
        <v>-16.861069854841499</v>
      </c>
    </row>
    <row r="24" spans="1:22" s="26" customFormat="1" x14ac:dyDescent="0.2">
      <c r="A24" s="75" t="str">
        <f>VLOOKUP("&lt;Zeilentitel_12&gt;",Uebersetzungen!$B$3:$E$931,Uebersetzungen!$B$2+1,FALSE)</f>
        <v>B09</v>
      </c>
      <c r="B24" s="83" t="str">
        <f>VLOOKUP("&lt;Zeilentitel_12.1&gt;",Uebersetzungen!$B$3:$E$931,Uebersetzungen!$B$2+1,FALSE)</f>
        <v>Dienstleistungen für den Bergbau und für die Gewinnung von Steinen und Erden</v>
      </c>
      <c r="C24" s="32"/>
      <c r="D24" s="46" t="s">
        <v>673</v>
      </c>
      <c r="E24" s="65" t="s">
        <v>673</v>
      </c>
      <c r="F24" s="65" t="s">
        <v>673</v>
      </c>
      <c r="G24" s="65" t="s">
        <v>673</v>
      </c>
      <c r="H24" s="65" t="s">
        <v>673</v>
      </c>
      <c r="I24" s="65" t="s">
        <v>673</v>
      </c>
      <c r="J24" s="65" t="s">
        <v>673</v>
      </c>
      <c r="K24" s="93" t="s">
        <v>673</v>
      </c>
      <c r="L24" s="66" t="s">
        <v>673</v>
      </c>
      <c r="M24" s="44"/>
      <c r="N24" s="54" t="s">
        <v>673</v>
      </c>
      <c r="O24" s="55" t="s">
        <v>673</v>
      </c>
      <c r="P24" s="55" t="s">
        <v>673</v>
      </c>
      <c r="Q24" s="55" t="s">
        <v>673</v>
      </c>
      <c r="R24" s="55" t="s">
        <v>673</v>
      </c>
      <c r="S24" s="55" t="s">
        <v>673</v>
      </c>
      <c r="T24" s="55" t="s">
        <v>673</v>
      </c>
      <c r="U24" s="99" t="s">
        <v>673</v>
      </c>
      <c r="V24" s="56" t="s">
        <v>673</v>
      </c>
    </row>
    <row r="25" spans="1:22" s="26" customFormat="1" x14ac:dyDescent="0.2">
      <c r="A25" s="77" t="str">
        <f>VLOOKUP("&lt;Zeilentitel_13&gt;",Uebersetzungen!$B$3:$E$931,Uebersetzungen!$B$2+1,FALSE)</f>
        <v>C</v>
      </c>
      <c r="B25" s="84" t="str">
        <f>VLOOKUP("&lt;Zeilentitel_13.1&gt;",Uebersetzungen!$B$3:$E$931,Uebersetzungen!$B$2+1,FALSE)</f>
        <v>HERGESTELLTE WAREN</v>
      </c>
      <c r="C25" s="32"/>
      <c r="D25" s="45">
        <v>2342564.4963486199</v>
      </c>
      <c r="E25" s="63">
        <v>2539099.5810131403</v>
      </c>
      <c r="F25" s="63">
        <v>2868969.5668568402</v>
      </c>
      <c r="G25" s="63">
        <v>2537385.3875528304</v>
      </c>
      <c r="H25" s="63">
        <v>2562204.0917355199</v>
      </c>
      <c r="I25" s="63">
        <v>2994087.7496813899</v>
      </c>
      <c r="J25" s="63">
        <v>2864498.8061771304</v>
      </c>
      <c r="K25" s="92">
        <v>2597097.0220497199</v>
      </c>
      <c r="L25" s="64">
        <v>2460020.7121917899</v>
      </c>
      <c r="M25" s="43"/>
      <c r="N25" s="51" t="s">
        <v>673</v>
      </c>
      <c r="O25" s="52">
        <v>8.3897406014164595</v>
      </c>
      <c r="P25" s="52">
        <v>12.9916127870839</v>
      </c>
      <c r="Q25" s="52">
        <v>-11.557605320550101</v>
      </c>
      <c r="R25" s="52">
        <v>0.97812119138208897</v>
      </c>
      <c r="S25" s="52">
        <v>16.855942871175898</v>
      </c>
      <c r="T25" s="52">
        <v>-4.3281611742358397</v>
      </c>
      <c r="U25" s="98">
        <v>-9.3350286462249308</v>
      </c>
      <c r="V25" s="53">
        <v>-5.2780588747412596</v>
      </c>
    </row>
    <row r="26" spans="1:22" s="26" customFormat="1" x14ac:dyDescent="0.2">
      <c r="A26" s="75" t="str">
        <f>VLOOKUP("&lt;Zeilentitel_14&gt;",Uebersetzungen!$B$3:$E$931,Uebersetzungen!$B$2+1,FALSE)</f>
        <v>C10</v>
      </c>
      <c r="B26" s="83" t="str">
        <f>VLOOKUP("&lt;Zeilentitel_14.1&gt;",Uebersetzungen!$B$3:$E$931,Uebersetzungen!$B$2+1,FALSE)</f>
        <v>Nahrungs- und Futtermittel</v>
      </c>
      <c r="C26" s="32"/>
      <c r="D26" s="46">
        <v>60655.946477168698</v>
      </c>
      <c r="E26" s="65">
        <v>56050.922598942896</v>
      </c>
      <c r="F26" s="65">
        <v>69299.479972521498</v>
      </c>
      <c r="G26" s="65">
        <v>67394.275270471204</v>
      </c>
      <c r="H26" s="65">
        <v>68910.157752514497</v>
      </c>
      <c r="I26" s="65">
        <v>69890.215529784793</v>
      </c>
      <c r="J26" s="65">
        <v>60505.227864153305</v>
      </c>
      <c r="K26" s="93">
        <v>52013.7820563196</v>
      </c>
      <c r="L26" s="66">
        <v>57986.752430740606</v>
      </c>
      <c r="M26" s="44"/>
      <c r="N26" s="54" t="s">
        <v>673</v>
      </c>
      <c r="O26" s="55">
        <v>-7.5920402626297401</v>
      </c>
      <c r="P26" s="55">
        <v>23.6366446068605</v>
      </c>
      <c r="Q26" s="55">
        <v>-2.7492337645328702</v>
      </c>
      <c r="R26" s="55">
        <v>2.2492748470988899</v>
      </c>
      <c r="S26" s="55">
        <v>1.42222541528642</v>
      </c>
      <c r="T26" s="55">
        <v>-13.4281853253578</v>
      </c>
      <c r="U26" s="99">
        <v>-14.034234904294101</v>
      </c>
      <c r="V26" s="56">
        <v>11.4834379241133</v>
      </c>
    </row>
    <row r="27" spans="1:22" s="26" customFormat="1" x14ac:dyDescent="0.2">
      <c r="A27" s="75" t="str">
        <f>VLOOKUP("&lt;Zeilentitel_15&gt;",Uebersetzungen!$B$3:$E$931,Uebersetzungen!$B$2+1,FALSE)</f>
        <v>C11</v>
      </c>
      <c r="B27" s="83" t="str">
        <f>VLOOKUP("&lt;Zeilentitel_15.1&gt;",Uebersetzungen!$B$3:$E$931,Uebersetzungen!$B$2+1,FALSE)</f>
        <v>Getränke</v>
      </c>
      <c r="C27" s="32"/>
      <c r="D27" s="46">
        <v>2814.2711383856104</v>
      </c>
      <c r="E27" s="65">
        <v>4066.55130535026</v>
      </c>
      <c r="F27" s="65">
        <v>3744.3663763798199</v>
      </c>
      <c r="G27" s="65">
        <v>3211.1381253403601</v>
      </c>
      <c r="H27" s="65">
        <v>2790.9414688680999</v>
      </c>
      <c r="I27" s="65">
        <v>7154.1933278751303</v>
      </c>
      <c r="J27" s="65">
        <v>4146.9905902236796</v>
      </c>
      <c r="K27" s="93">
        <v>3156.1304382164503</v>
      </c>
      <c r="L27" s="66">
        <v>2303.63932175217</v>
      </c>
      <c r="M27" s="44"/>
      <c r="N27" s="54" t="s">
        <v>673</v>
      </c>
      <c r="O27" s="55">
        <v>44.497495279825898</v>
      </c>
      <c r="P27" s="55">
        <v>-7.9228049710461699</v>
      </c>
      <c r="Q27" s="55">
        <v>-14.240813997347299</v>
      </c>
      <c r="R27" s="55">
        <v>-13.0855989394017</v>
      </c>
      <c r="S27" s="55">
        <v>156.336200800965</v>
      </c>
      <c r="T27" s="55">
        <v>-42.034127396786801</v>
      </c>
      <c r="U27" s="99">
        <v>-23.893474809012901</v>
      </c>
      <c r="V27" s="56">
        <v>-27.010642720648399</v>
      </c>
    </row>
    <row r="28" spans="1:22" s="26" customFormat="1" x14ac:dyDescent="0.2">
      <c r="A28" s="75" t="str">
        <f>VLOOKUP("&lt;Zeilentitel_16&gt;",Uebersetzungen!$B$3:$E$931,Uebersetzungen!$B$2+1,FALSE)</f>
        <v>C12</v>
      </c>
      <c r="B28" s="83" t="str">
        <f>VLOOKUP("&lt;Zeilentitel_16.1&gt;",Uebersetzungen!$B$3:$E$931,Uebersetzungen!$B$2+1,FALSE)</f>
        <v>Tabakerzeugnisse</v>
      </c>
      <c r="C28" s="32"/>
      <c r="D28" s="46">
        <v>59.796376946263599</v>
      </c>
      <c r="E28" s="65">
        <v>28.1929021426267</v>
      </c>
      <c r="F28" s="65">
        <v>22.938782473611997</v>
      </c>
      <c r="G28" s="65">
        <v>48.3833017138302</v>
      </c>
      <c r="H28" s="65">
        <v>60.287147867676403</v>
      </c>
      <c r="I28" s="65">
        <v>33.466049549549496</v>
      </c>
      <c r="J28" s="65">
        <v>24.565974792050202</v>
      </c>
      <c r="K28" s="93">
        <v>33.567</v>
      </c>
      <c r="L28" s="66">
        <v>59.814</v>
      </c>
      <c r="M28" s="44"/>
      <c r="N28" s="54" t="s">
        <v>673</v>
      </c>
      <c r="O28" s="55">
        <v>-52.851822163134699</v>
      </c>
      <c r="P28" s="55">
        <v>-18.636320739292401</v>
      </c>
      <c r="Q28" s="55">
        <v>110.923582232356</v>
      </c>
      <c r="R28" s="55">
        <v>24.603211711869299</v>
      </c>
      <c r="S28" s="55">
        <v>-44.488915576162498</v>
      </c>
      <c r="T28" s="55">
        <v>-26.5943392700771</v>
      </c>
      <c r="U28" s="99">
        <v>36.640211854579299</v>
      </c>
      <c r="V28" s="56">
        <v>78.1928679953526</v>
      </c>
    </row>
    <row r="29" spans="1:22" s="26" customFormat="1" x14ac:dyDescent="0.2">
      <c r="A29" s="75" t="str">
        <f>VLOOKUP("&lt;Zeilentitel_17&gt;",Uebersetzungen!$B$3:$E$931,Uebersetzungen!$B$2+1,FALSE)</f>
        <v>C13</v>
      </c>
      <c r="B29" s="83" t="str">
        <f>VLOOKUP("&lt;Zeilentitel_17.1&gt;",Uebersetzungen!$B$3:$E$931,Uebersetzungen!$B$2+1,FALSE)</f>
        <v>Textilien</v>
      </c>
      <c r="C29" s="32"/>
      <c r="D29" s="46">
        <v>1683.8078944034198</v>
      </c>
      <c r="E29" s="65">
        <v>2195.2928759748002</v>
      </c>
      <c r="F29" s="65">
        <v>2184.7642361333396</v>
      </c>
      <c r="G29" s="65">
        <v>1663.3912890052</v>
      </c>
      <c r="H29" s="65">
        <v>2701.58989438245</v>
      </c>
      <c r="I29" s="65">
        <v>1394.9111767433199</v>
      </c>
      <c r="J29" s="65">
        <v>1580.8109263459401</v>
      </c>
      <c r="K29" s="93">
        <v>1394.2120945402901</v>
      </c>
      <c r="L29" s="66">
        <v>1863.5610467665401</v>
      </c>
      <c r="M29" s="44"/>
      <c r="N29" s="54" t="s">
        <v>673</v>
      </c>
      <c r="O29" s="55">
        <v>30.376682712525898</v>
      </c>
      <c r="P29" s="55">
        <v>-0.47960069276820499</v>
      </c>
      <c r="Q29" s="55">
        <v>-23.8640370665753</v>
      </c>
      <c r="R29" s="55">
        <v>62.414575105666202</v>
      </c>
      <c r="S29" s="55">
        <v>-48.367027147835202</v>
      </c>
      <c r="T29" s="55">
        <v>13.326995489178101</v>
      </c>
      <c r="U29" s="99">
        <v>-11.8039943105008</v>
      </c>
      <c r="V29" s="56">
        <v>33.664099892994003</v>
      </c>
    </row>
    <row r="30" spans="1:22" s="26" customFormat="1" x14ac:dyDescent="0.2">
      <c r="A30" s="75" t="str">
        <f>VLOOKUP("&lt;Zeilentitel_18&gt;",Uebersetzungen!$B$3:$E$931,Uebersetzungen!$B$2+1,FALSE)</f>
        <v>C14</v>
      </c>
      <c r="B30" s="83" t="str">
        <f>VLOOKUP("&lt;Zeilentitel_18.1&gt;",Uebersetzungen!$B$3:$E$931,Uebersetzungen!$B$2+1,FALSE)</f>
        <v>Bekleidung</v>
      </c>
      <c r="C30" s="32"/>
      <c r="D30" s="46">
        <v>11051.1984251781</v>
      </c>
      <c r="E30" s="65">
        <v>12171.6572801149</v>
      </c>
      <c r="F30" s="65">
        <v>10986.059921754999</v>
      </c>
      <c r="G30" s="65">
        <v>9434.7816482507696</v>
      </c>
      <c r="H30" s="65">
        <v>11671.508003249501</v>
      </c>
      <c r="I30" s="65">
        <v>15737.0691551162</v>
      </c>
      <c r="J30" s="65">
        <v>22346.9962151332</v>
      </c>
      <c r="K30" s="93">
        <v>34445.436005577802</v>
      </c>
      <c r="L30" s="66">
        <v>39815.025070973097</v>
      </c>
      <c r="M30" s="44"/>
      <c r="N30" s="54" t="s">
        <v>673</v>
      </c>
      <c r="O30" s="55">
        <v>10.1387995385551</v>
      </c>
      <c r="P30" s="55">
        <v>-9.7406403341374208</v>
      </c>
      <c r="Q30" s="55">
        <v>-14.120424288168699</v>
      </c>
      <c r="R30" s="55">
        <v>23.707240277398899</v>
      </c>
      <c r="S30" s="55">
        <v>34.833212218461597</v>
      </c>
      <c r="T30" s="55">
        <v>42.002274978045101</v>
      </c>
      <c r="U30" s="99">
        <v>54.138997805225003</v>
      </c>
      <c r="V30" s="56">
        <v>15.588680789309199</v>
      </c>
    </row>
    <row r="31" spans="1:22" s="26" customFormat="1" x14ac:dyDescent="0.2">
      <c r="A31" s="75" t="str">
        <f>VLOOKUP("&lt;Zeilentitel_19&gt;",Uebersetzungen!$B$3:$E$931,Uebersetzungen!$B$2+1,FALSE)</f>
        <v>C15</v>
      </c>
      <c r="B31" s="83" t="str">
        <f>VLOOKUP("&lt;Zeilentitel_19.1&gt;",Uebersetzungen!$B$3:$E$931,Uebersetzungen!$B$2+1,FALSE)</f>
        <v>Leder und Lederwaren</v>
      </c>
      <c r="C31" s="32"/>
      <c r="D31" s="46">
        <v>6719.49917219079</v>
      </c>
      <c r="E31" s="65">
        <v>7140.3912295696</v>
      </c>
      <c r="F31" s="65">
        <v>6791.9059999701103</v>
      </c>
      <c r="G31" s="65">
        <v>5407.6330322495296</v>
      </c>
      <c r="H31" s="65">
        <v>9051.0999886667887</v>
      </c>
      <c r="I31" s="65">
        <v>9051.0863908741103</v>
      </c>
      <c r="J31" s="65">
        <v>8646.1734907954706</v>
      </c>
      <c r="K31" s="93">
        <v>7239.2695524466799</v>
      </c>
      <c r="L31" s="66">
        <v>7570.0021033865296</v>
      </c>
      <c r="M31" s="44"/>
      <c r="N31" s="54" t="s">
        <v>673</v>
      </c>
      <c r="O31" s="55">
        <v>6.2637414871737302</v>
      </c>
      <c r="P31" s="55">
        <v>-4.8804780914014296</v>
      </c>
      <c r="Q31" s="55">
        <v>-20.381215048127501</v>
      </c>
      <c r="R31" s="55">
        <v>67.376372151895495</v>
      </c>
      <c r="S31" s="55">
        <v>-1.5023359260416401E-4</v>
      </c>
      <c r="T31" s="55">
        <v>-4.4736386616185904</v>
      </c>
      <c r="U31" s="99">
        <v>-16.271983668226699</v>
      </c>
      <c r="V31" s="56">
        <v>4.5685900841759599</v>
      </c>
    </row>
    <row r="32" spans="1:22" s="26" customFormat="1" x14ac:dyDescent="0.2">
      <c r="A32" s="75" t="str">
        <f>VLOOKUP("&lt;Zeilentitel_20&gt;",Uebersetzungen!$B$3:$E$931,Uebersetzungen!$B$2+1,FALSE)</f>
        <v>C16</v>
      </c>
      <c r="B32" s="83" t="str">
        <f>VLOOKUP("&lt;Zeilentitel_20.1&gt;",Uebersetzungen!$B$3:$E$931,Uebersetzungen!$B$2+1,FALSE)</f>
        <v>Holz sowie Holz- und Korkwaren (ohne Möbel); Flecht- und Korbwaren</v>
      </c>
      <c r="C32" s="32"/>
      <c r="D32" s="46">
        <v>48350.604696642302</v>
      </c>
      <c r="E32" s="65">
        <v>51057.221957383605</v>
      </c>
      <c r="F32" s="65">
        <v>49684.921725945402</v>
      </c>
      <c r="G32" s="65">
        <v>44838.1585790061</v>
      </c>
      <c r="H32" s="65">
        <v>43133.569892975298</v>
      </c>
      <c r="I32" s="65">
        <v>48278.573039794799</v>
      </c>
      <c r="J32" s="65">
        <v>44274.095676583798</v>
      </c>
      <c r="K32" s="93">
        <v>33848.857846403502</v>
      </c>
      <c r="L32" s="66">
        <v>33924.213133323807</v>
      </c>
      <c r="M32" s="44"/>
      <c r="N32" s="54" t="s">
        <v>673</v>
      </c>
      <c r="O32" s="55">
        <v>5.5978974362843497</v>
      </c>
      <c r="P32" s="55">
        <v>-2.6877690928496301</v>
      </c>
      <c r="Q32" s="55">
        <v>-9.7549980528766795</v>
      </c>
      <c r="R32" s="55">
        <v>-3.8016473915344302</v>
      </c>
      <c r="S32" s="55">
        <v>11.928071707455601</v>
      </c>
      <c r="T32" s="55">
        <v>-8.29452303801569</v>
      </c>
      <c r="U32" s="99">
        <v>-23.547037315759599</v>
      </c>
      <c r="V32" s="56">
        <v>0.222622834904149</v>
      </c>
    </row>
    <row r="33" spans="1:22" s="26" customFormat="1" x14ac:dyDescent="0.2">
      <c r="A33" s="75" t="str">
        <f>VLOOKUP("&lt;Zeilentitel_21&gt;",Uebersetzungen!$B$3:$E$931,Uebersetzungen!$B$2+1,FALSE)</f>
        <v>C17</v>
      </c>
      <c r="B33" s="83" t="str">
        <f>VLOOKUP("&lt;Zeilentitel_21.1&gt;",Uebersetzungen!$B$3:$E$931,Uebersetzungen!$B$2+1,FALSE)</f>
        <v>Papier, Pappe und Waren daraus</v>
      </c>
      <c r="C33" s="32"/>
      <c r="D33" s="46">
        <v>100407.00158689401</v>
      </c>
      <c r="E33" s="65">
        <v>85664.792720435391</v>
      </c>
      <c r="F33" s="65">
        <v>51467.609394533298</v>
      </c>
      <c r="G33" s="65">
        <v>49638.938875133703</v>
      </c>
      <c r="H33" s="65">
        <v>74166.913599035208</v>
      </c>
      <c r="I33" s="65">
        <v>79513.890820310509</v>
      </c>
      <c r="J33" s="65">
        <v>95276.211705679103</v>
      </c>
      <c r="K33" s="93">
        <v>91504.721991396393</v>
      </c>
      <c r="L33" s="66">
        <v>66811.7321571184</v>
      </c>
      <c r="M33" s="44"/>
      <c r="N33" s="54" t="s">
        <v>673</v>
      </c>
      <c r="O33" s="55">
        <v>-14.6824510576587</v>
      </c>
      <c r="P33" s="55">
        <v>-39.919764281113302</v>
      </c>
      <c r="Q33" s="55">
        <v>-3.5530512120381998</v>
      </c>
      <c r="R33" s="55">
        <v>49.4127700545762</v>
      </c>
      <c r="S33" s="55">
        <v>7.2093834862569297</v>
      </c>
      <c r="T33" s="55">
        <v>19.8233550424405</v>
      </c>
      <c r="U33" s="99">
        <v>-3.9584799256433301</v>
      </c>
      <c r="V33" s="56">
        <v>-26.985481510560401</v>
      </c>
    </row>
    <row r="34" spans="1:22" s="26" customFormat="1" x14ac:dyDescent="0.2">
      <c r="A34" s="75" t="str">
        <f>VLOOKUP("&lt;Zeilentitel_22&gt;",Uebersetzungen!$B$3:$E$931,Uebersetzungen!$B$2+1,FALSE)</f>
        <v>C18</v>
      </c>
      <c r="B34" s="83" t="str">
        <f>VLOOKUP("&lt;Zeilentitel_22.1&gt;",Uebersetzungen!$B$3:$E$931,Uebersetzungen!$B$2+1,FALSE)</f>
        <v>Druckereileistungen und Dienstleistungen der Vervielfältigung bespielter Ton-, Bild- und Datenträger</v>
      </c>
      <c r="C34" s="32"/>
      <c r="D34" s="46">
        <v>0.83069038300814002</v>
      </c>
      <c r="E34" s="65">
        <v>1.0215015963173999</v>
      </c>
      <c r="F34" s="65">
        <v>12.4466616630927</v>
      </c>
      <c r="G34" s="65">
        <v>7.3152995099941397E-3</v>
      </c>
      <c r="H34" s="65">
        <v>1.4264161859845401E-2</v>
      </c>
      <c r="I34" s="65">
        <v>18.943577354361501</v>
      </c>
      <c r="J34" s="65">
        <v>40.747925806755497</v>
      </c>
      <c r="K34" s="93">
        <v>29.456646474178601</v>
      </c>
      <c r="L34" s="66">
        <v>28.737897254955001</v>
      </c>
      <c r="M34" s="44"/>
      <c r="N34" s="54" t="s">
        <v>673</v>
      </c>
      <c r="O34" s="55">
        <v>22.9701965030923</v>
      </c>
      <c r="P34" s="55" t="s">
        <v>674</v>
      </c>
      <c r="Q34" s="55">
        <v>-99.941226814803798</v>
      </c>
      <c r="R34" s="55">
        <v>94.990811249186805</v>
      </c>
      <c r="S34" s="55" t="s">
        <v>674</v>
      </c>
      <c r="T34" s="55">
        <v>115.10153570531401</v>
      </c>
      <c r="U34" s="99">
        <v>-27.7100713938793</v>
      </c>
      <c r="V34" s="56">
        <v>-2.44002391736502</v>
      </c>
    </row>
    <row r="35" spans="1:22" s="26" customFormat="1" x14ac:dyDescent="0.2">
      <c r="A35" s="75" t="str">
        <f>VLOOKUP("&lt;Zeilentitel_23&gt;",Uebersetzungen!$B$3:$E$931,Uebersetzungen!$B$2+1,FALSE)</f>
        <v>C19</v>
      </c>
      <c r="B35" s="83" t="str">
        <f>VLOOKUP("&lt;Zeilentitel_23.1&gt;",Uebersetzungen!$B$3:$E$931,Uebersetzungen!$B$2+1,FALSE)</f>
        <v>Kokereierzeugnisse und Mineralölerzeugnisse</v>
      </c>
      <c r="C35" s="32"/>
      <c r="D35" s="46">
        <v>12689.4444498211</v>
      </c>
      <c r="E35" s="65">
        <v>11005.083608591</v>
      </c>
      <c r="F35" s="65">
        <v>13806.5403191271</v>
      </c>
      <c r="G35" s="65">
        <v>16267.1169065619</v>
      </c>
      <c r="H35" s="65">
        <v>15020.5549939065</v>
      </c>
      <c r="I35" s="65">
        <v>14233.484655334099</v>
      </c>
      <c r="J35" s="65">
        <v>12594.9090564537</v>
      </c>
      <c r="K35" s="93">
        <v>15368.895868448701</v>
      </c>
      <c r="L35" s="66">
        <v>980.95314822034902</v>
      </c>
      <c r="M35" s="44"/>
      <c r="N35" s="54" t="s">
        <v>673</v>
      </c>
      <c r="O35" s="55">
        <v>-13.2737161811198</v>
      </c>
      <c r="P35" s="55">
        <v>25.456023871996599</v>
      </c>
      <c r="Q35" s="55">
        <v>17.821818721856001</v>
      </c>
      <c r="R35" s="55">
        <v>-7.6630783427424598</v>
      </c>
      <c r="S35" s="55">
        <v>-5.2399551074627997</v>
      </c>
      <c r="T35" s="55">
        <v>-11.5121183502057</v>
      </c>
      <c r="U35" s="99">
        <v>22.024667264855001</v>
      </c>
      <c r="V35" s="56">
        <v>-93.617282876942497</v>
      </c>
    </row>
    <row r="36" spans="1:22" s="26" customFormat="1" x14ac:dyDescent="0.2">
      <c r="A36" s="75" t="str">
        <f>VLOOKUP("&lt;Zeilentitel_24&gt;",Uebersetzungen!$B$3:$E$931,Uebersetzungen!$B$2+1,FALSE)</f>
        <v>C20</v>
      </c>
      <c r="B36" s="83" t="str">
        <f>VLOOKUP("&lt;Zeilentitel_24.1&gt;",Uebersetzungen!$B$3:$E$931,Uebersetzungen!$B$2+1,FALSE)</f>
        <v>Chemische Erzeugnisse</v>
      </c>
      <c r="C36" s="32"/>
      <c r="D36" s="46">
        <v>750012.68146108103</v>
      </c>
      <c r="E36" s="65">
        <v>842861.24108519603</v>
      </c>
      <c r="F36" s="65">
        <v>941184.85803306499</v>
      </c>
      <c r="G36" s="65">
        <v>841104.25702453102</v>
      </c>
      <c r="H36" s="65">
        <v>740411.24425021606</v>
      </c>
      <c r="I36" s="65">
        <v>1005743.44977978</v>
      </c>
      <c r="J36" s="65">
        <v>998079.09543505299</v>
      </c>
      <c r="K36" s="93">
        <v>774484.26582730492</v>
      </c>
      <c r="L36" s="66">
        <v>763600.23482072901</v>
      </c>
      <c r="M36" s="44"/>
      <c r="N36" s="54" t="s">
        <v>673</v>
      </c>
      <c r="O36" s="55">
        <v>12.3795986280177</v>
      </c>
      <c r="P36" s="55">
        <v>11.6654571541665</v>
      </c>
      <c r="Q36" s="55">
        <v>-10.633469095294201</v>
      </c>
      <c r="R36" s="55">
        <v>-11.971525757166299</v>
      </c>
      <c r="S36" s="55">
        <v>35.835788231208603</v>
      </c>
      <c r="T36" s="55">
        <v>-0.762058589236282</v>
      </c>
      <c r="U36" s="99">
        <v>-22.402516056133301</v>
      </c>
      <c r="V36" s="56">
        <v>-1.40532629090268</v>
      </c>
    </row>
    <row r="37" spans="1:22" s="26" customFormat="1" x14ac:dyDescent="0.2">
      <c r="A37" s="75" t="str">
        <f>VLOOKUP("&lt;Zeilentitel_25&gt;",Uebersetzungen!$B$3:$E$931,Uebersetzungen!$B$2+1,FALSE)</f>
        <v>C21</v>
      </c>
      <c r="B37" s="83" t="str">
        <f>VLOOKUP("&lt;Zeilentitel_25.1&gt;",Uebersetzungen!$B$3:$E$931,Uebersetzungen!$B$2+1,FALSE)</f>
        <v>Pharmazeutische Erzeugnisse</v>
      </c>
      <c r="C37" s="32"/>
      <c r="D37" s="46">
        <v>62846.958171839899</v>
      </c>
      <c r="E37" s="65">
        <v>57811.184962647298</v>
      </c>
      <c r="F37" s="65">
        <v>59079.0954709176</v>
      </c>
      <c r="G37" s="65">
        <v>66996.733773603293</v>
      </c>
      <c r="H37" s="65">
        <v>81269.959317617802</v>
      </c>
      <c r="I37" s="65">
        <v>90905.786163162309</v>
      </c>
      <c r="J37" s="65">
        <v>120515.30559886301</v>
      </c>
      <c r="K37" s="93">
        <v>120078.08531050899</v>
      </c>
      <c r="L37" s="66">
        <v>110844.649669334</v>
      </c>
      <c r="M37" s="44"/>
      <c r="N37" s="54" t="s">
        <v>673</v>
      </c>
      <c r="O37" s="55">
        <v>-8.0127556777266502</v>
      </c>
      <c r="P37" s="55">
        <v>2.1931923884445199</v>
      </c>
      <c r="Q37" s="55">
        <v>13.401759521831501</v>
      </c>
      <c r="R37" s="55">
        <v>21.304360287543201</v>
      </c>
      <c r="S37" s="55">
        <v>11.8565665917044</v>
      </c>
      <c r="T37" s="55">
        <v>32.571655430773099</v>
      </c>
      <c r="U37" s="99">
        <v>-0.362792332626376</v>
      </c>
      <c r="V37" s="56">
        <v>-7.6895260424065803</v>
      </c>
    </row>
    <row r="38" spans="1:22" s="26" customFormat="1" x14ac:dyDescent="0.2">
      <c r="A38" s="75" t="str">
        <f>VLOOKUP("&lt;Zeilentitel_26&gt;",Uebersetzungen!$B$3:$E$931,Uebersetzungen!$B$2+1,FALSE)</f>
        <v>C22</v>
      </c>
      <c r="B38" s="83" t="str">
        <f>VLOOKUP("&lt;Zeilentitel_26.1&gt;",Uebersetzungen!$B$3:$E$931,Uebersetzungen!$B$2+1,FALSE)</f>
        <v>Gummi- und Kunststoffwaren</v>
      </c>
      <c r="C38" s="32"/>
      <c r="D38" s="46">
        <v>96165.462717918606</v>
      </c>
      <c r="E38" s="65">
        <v>94401.508191854402</v>
      </c>
      <c r="F38" s="65">
        <v>100789.46992449001</v>
      </c>
      <c r="G38" s="65">
        <v>102404.36383408699</v>
      </c>
      <c r="H38" s="65">
        <v>111923.53805665601</v>
      </c>
      <c r="I38" s="65">
        <v>90159.316053333197</v>
      </c>
      <c r="J38" s="65">
        <v>94583.476057394801</v>
      </c>
      <c r="K38" s="93">
        <v>97404.710757965207</v>
      </c>
      <c r="L38" s="66">
        <v>94752.701572873106</v>
      </c>
      <c r="M38" s="44"/>
      <c r="N38" s="54" t="s">
        <v>673</v>
      </c>
      <c r="O38" s="55">
        <v>-1.8342911022414801</v>
      </c>
      <c r="P38" s="55">
        <v>6.7668005045562802</v>
      </c>
      <c r="Q38" s="55">
        <v>1.60224466981236</v>
      </c>
      <c r="R38" s="55">
        <v>9.2956724363737209</v>
      </c>
      <c r="S38" s="55">
        <v>-19.445616517506402</v>
      </c>
      <c r="T38" s="55">
        <v>4.9070469894031099</v>
      </c>
      <c r="U38" s="99">
        <v>2.98279870667738</v>
      </c>
      <c r="V38" s="56">
        <v>-2.7226703559358501</v>
      </c>
    </row>
    <row r="39" spans="1:22" s="26" customFormat="1" x14ac:dyDescent="0.2">
      <c r="A39" s="75" t="str">
        <f>VLOOKUP("&lt;Zeilentitel_27&gt;",Uebersetzungen!$B$3:$E$931,Uebersetzungen!$B$2+1,FALSE)</f>
        <v>C23</v>
      </c>
      <c r="B39" s="83" t="str">
        <f>VLOOKUP("&lt;Zeilentitel_27.1&gt;",Uebersetzungen!$B$3:$E$931,Uebersetzungen!$B$2+1,FALSE)</f>
        <v>Glas- und Glaswaren, Keramik, verarbeitete Steine und Erden</v>
      </c>
      <c r="C39" s="32"/>
      <c r="D39" s="46">
        <v>21597.503135784398</v>
      </c>
      <c r="E39" s="65">
        <v>27488.0862165156</v>
      </c>
      <c r="F39" s="65">
        <v>27569.255715404601</v>
      </c>
      <c r="G39" s="65">
        <v>24324.215290526299</v>
      </c>
      <c r="H39" s="65">
        <v>16660.269690887701</v>
      </c>
      <c r="I39" s="65">
        <v>20151.418252613399</v>
      </c>
      <c r="J39" s="65">
        <v>19984.8542221803</v>
      </c>
      <c r="K39" s="93">
        <v>16357.461906509301</v>
      </c>
      <c r="L39" s="66">
        <v>14967.1953424565</v>
      </c>
      <c r="M39" s="44"/>
      <c r="N39" s="54" t="s">
        <v>673</v>
      </c>
      <c r="O39" s="55">
        <v>27.274370762661</v>
      </c>
      <c r="P39" s="55">
        <v>0.29528974207117598</v>
      </c>
      <c r="Q39" s="55">
        <v>-11.770504283382101</v>
      </c>
      <c r="R39" s="55">
        <v>-31.507473141892099</v>
      </c>
      <c r="S39" s="55">
        <v>20.954934262769701</v>
      </c>
      <c r="T39" s="55">
        <v>-0.826562321048811</v>
      </c>
      <c r="U39" s="99">
        <v>-18.1507069070597</v>
      </c>
      <c r="V39" s="56">
        <v>-8.4992804629400105</v>
      </c>
    </row>
    <row r="40" spans="1:22" s="26" customFormat="1" x14ac:dyDescent="0.2">
      <c r="A40" s="75" t="str">
        <f>VLOOKUP("&lt;Zeilentitel_28&gt;",Uebersetzungen!$B$3:$E$931,Uebersetzungen!$B$2+1,FALSE)</f>
        <v>C24</v>
      </c>
      <c r="B40" s="83" t="str">
        <f>VLOOKUP("&lt;Zeilentitel_28.1&gt;",Uebersetzungen!$B$3:$E$931,Uebersetzungen!$B$2+1,FALSE)</f>
        <v>Metalle</v>
      </c>
      <c r="C40" s="32"/>
      <c r="D40" s="46">
        <v>66073.54837136899</v>
      </c>
      <c r="E40" s="65">
        <v>51901.622891728002</v>
      </c>
      <c r="F40" s="65">
        <v>46321.175882722302</v>
      </c>
      <c r="G40" s="65">
        <v>57251.457862506802</v>
      </c>
      <c r="H40" s="65">
        <v>40303.779512347799</v>
      </c>
      <c r="I40" s="65">
        <v>69166.26847474571</v>
      </c>
      <c r="J40" s="65">
        <v>86448.681079906193</v>
      </c>
      <c r="K40" s="93">
        <v>56316.8553423095</v>
      </c>
      <c r="L40" s="66">
        <v>46327.5361011227</v>
      </c>
      <c r="M40" s="44"/>
      <c r="N40" s="54" t="s">
        <v>673</v>
      </c>
      <c r="O40" s="55">
        <v>-21.4487125770621</v>
      </c>
      <c r="P40" s="55">
        <v>-10.7519701660332</v>
      </c>
      <c r="Q40" s="55">
        <v>23.596728216611101</v>
      </c>
      <c r="R40" s="55">
        <v>-29.602177801061298</v>
      </c>
      <c r="S40" s="55">
        <v>71.612363186820403</v>
      </c>
      <c r="T40" s="55">
        <v>24.986764482561</v>
      </c>
      <c r="U40" s="99">
        <v>-34.855159571197198</v>
      </c>
      <c r="V40" s="56">
        <v>-17.737707797193099</v>
      </c>
    </row>
    <row r="41" spans="1:22" s="26" customFormat="1" x14ac:dyDescent="0.2">
      <c r="A41" s="75" t="str">
        <f>VLOOKUP("&lt;Zeilentitel_29&gt;",Uebersetzungen!$B$3:$E$931,Uebersetzungen!$B$2+1,FALSE)</f>
        <v>C25</v>
      </c>
      <c r="B41" s="83" t="str">
        <f>VLOOKUP("&lt;Zeilentitel_29.1&gt;",Uebersetzungen!$B$3:$E$931,Uebersetzungen!$B$2+1,FALSE)</f>
        <v>Metallerzeugnisse</v>
      </c>
      <c r="C41" s="32"/>
      <c r="D41" s="46">
        <v>58280.982349469698</v>
      </c>
      <c r="E41" s="65">
        <v>65139.533856666101</v>
      </c>
      <c r="F41" s="65">
        <v>69979.842137981002</v>
      </c>
      <c r="G41" s="65">
        <v>67863.397397397988</v>
      </c>
      <c r="H41" s="65">
        <v>64123.673896041</v>
      </c>
      <c r="I41" s="65">
        <v>80960.660932040089</v>
      </c>
      <c r="J41" s="65">
        <v>79167.217970964994</v>
      </c>
      <c r="K41" s="93">
        <v>80113.655375678005</v>
      </c>
      <c r="L41" s="66">
        <v>70524.446668549499</v>
      </c>
      <c r="M41" s="44"/>
      <c r="N41" s="54" t="s">
        <v>673</v>
      </c>
      <c r="O41" s="55">
        <v>11.768078077460199</v>
      </c>
      <c r="P41" s="55">
        <v>7.4306768789067004</v>
      </c>
      <c r="Q41" s="55">
        <v>-3.0243634108375499</v>
      </c>
      <c r="R41" s="55">
        <v>-5.5106635458548396</v>
      </c>
      <c r="S41" s="55">
        <v>26.257052993089001</v>
      </c>
      <c r="T41" s="55">
        <v>-2.2152029645367501</v>
      </c>
      <c r="U41" s="99">
        <v>1.1954915544211799</v>
      </c>
      <c r="V41" s="56">
        <v>-11.9695059002884</v>
      </c>
    </row>
    <row r="42" spans="1:22" s="26" customFormat="1" x14ac:dyDescent="0.2">
      <c r="A42" s="75" t="str">
        <f>VLOOKUP("&lt;Zeilentitel_30&gt;",Uebersetzungen!$B$3:$E$931,Uebersetzungen!$B$2+1,FALSE)</f>
        <v>C26</v>
      </c>
      <c r="B42" s="83" t="str">
        <f>VLOOKUP("&lt;Zeilentitel_30.1&gt;",Uebersetzungen!$B$3:$E$931,Uebersetzungen!$B$2+1,FALSE)</f>
        <v>Datenverarbeitungsgeräte, elektronische und optische Erzeugnisse</v>
      </c>
      <c r="C42" s="32"/>
      <c r="D42" s="46">
        <v>119915.97959645701</v>
      </c>
      <c r="E42" s="65">
        <v>145266.172860786</v>
      </c>
      <c r="F42" s="65">
        <v>172346.300833494</v>
      </c>
      <c r="G42" s="65">
        <v>159273.43338211</v>
      </c>
      <c r="H42" s="65">
        <v>169579.92568148198</v>
      </c>
      <c r="I42" s="65">
        <v>225679.072966457</v>
      </c>
      <c r="J42" s="65">
        <v>231989.693803631</v>
      </c>
      <c r="K42" s="93">
        <v>201113.570787242</v>
      </c>
      <c r="L42" s="66">
        <v>190398.45129840699</v>
      </c>
      <c r="M42" s="44"/>
      <c r="N42" s="54" t="s">
        <v>673</v>
      </c>
      <c r="O42" s="55">
        <v>21.1399626218607</v>
      </c>
      <c r="P42" s="55">
        <v>18.6417301698038</v>
      </c>
      <c r="Q42" s="55">
        <v>-7.5852324002089402</v>
      </c>
      <c r="R42" s="55">
        <v>6.4709425046706102</v>
      </c>
      <c r="S42" s="55">
        <v>33.0812429947308</v>
      </c>
      <c r="T42" s="55">
        <v>2.79628091086327</v>
      </c>
      <c r="U42" s="99">
        <v>-13.309264954901201</v>
      </c>
      <c r="V42" s="56">
        <v>-5.3278948043591301</v>
      </c>
    </row>
    <row r="43" spans="1:22" s="26" customFormat="1" x14ac:dyDescent="0.2">
      <c r="A43" s="75" t="str">
        <f>VLOOKUP("&lt;Zeilentitel_31&gt;",Uebersetzungen!$B$3:$E$931,Uebersetzungen!$B$2+1,FALSE)</f>
        <v>C27</v>
      </c>
      <c r="B43" s="83" t="str">
        <f>VLOOKUP("&lt;Zeilentitel_31.1&gt;",Uebersetzungen!$B$3:$E$931,Uebersetzungen!$B$2+1,FALSE)</f>
        <v>Elektrische Ausrüstungen</v>
      </c>
      <c r="C43" s="32"/>
      <c r="D43" s="46">
        <v>113901.175657249</v>
      </c>
      <c r="E43" s="65">
        <v>130174.945183084</v>
      </c>
      <c r="F43" s="65">
        <v>140278.484740596</v>
      </c>
      <c r="G43" s="65">
        <v>119818.04084635501</v>
      </c>
      <c r="H43" s="65">
        <v>108041.857303428</v>
      </c>
      <c r="I43" s="65">
        <v>112913.303489257</v>
      </c>
      <c r="J43" s="65">
        <v>115840.574040088</v>
      </c>
      <c r="K43" s="93">
        <v>111665.15002412999</v>
      </c>
      <c r="L43" s="66">
        <v>112718.84627424499</v>
      </c>
      <c r="M43" s="44"/>
      <c r="N43" s="54" t="s">
        <v>673</v>
      </c>
      <c r="O43" s="55">
        <v>14.287622082853501</v>
      </c>
      <c r="P43" s="55">
        <v>7.7615085939176902</v>
      </c>
      <c r="Q43" s="55">
        <v>-14.5855894666078</v>
      </c>
      <c r="R43" s="55">
        <v>-9.8283893308083599</v>
      </c>
      <c r="S43" s="55">
        <v>4.5088508356046697</v>
      </c>
      <c r="T43" s="55">
        <v>2.5924939403707099</v>
      </c>
      <c r="U43" s="99">
        <v>-3.6044572901661298</v>
      </c>
      <c r="V43" s="56">
        <v>0.94362139833924197</v>
      </c>
    </row>
    <row r="44" spans="1:22" s="26" customFormat="1" x14ac:dyDescent="0.2">
      <c r="A44" s="75" t="str">
        <f>VLOOKUP("&lt;Zeilentitel_32&gt;",Uebersetzungen!$B$3:$E$931,Uebersetzungen!$B$2+1,FALSE)</f>
        <v>C28</v>
      </c>
      <c r="B44" s="83" t="str">
        <f>VLOOKUP("&lt;Zeilentitel_32.1&gt;",Uebersetzungen!$B$3:$E$931,Uebersetzungen!$B$2+1,FALSE)</f>
        <v>Maschinen</v>
      </c>
      <c r="C44" s="32"/>
      <c r="D44" s="46">
        <v>600222.62506627</v>
      </c>
      <c r="E44" s="65">
        <v>671893.82863321807</v>
      </c>
      <c r="F44" s="65">
        <v>852516.11115026602</v>
      </c>
      <c r="G44" s="65">
        <v>619348.52484071197</v>
      </c>
      <c r="H44" s="65">
        <v>540696.37742601498</v>
      </c>
      <c r="I44" s="65">
        <v>681199.99731582997</v>
      </c>
      <c r="J44" s="65">
        <v>668223.51494475</v>
      </c>
      <c r="K44" s="93">
        <v>678133.83924820903</v>
      </c>
      <c r="L44" s="66">
        <v>587159.85936719796</v>
      </c>
      <c r="M44" s="44"/>
      <c r="N44" s="54" t="s">
        <v>673</v>
      </c>
      <c r="O44" s="55">
        <v>11.940770069944399</v>
      </c>
      <c r="P44" s="55">
        <v>26.882563110376299</v>
      </c>
      <c r="Q44" s="55">
        <v>-27.3505196277113</v>
      </c>
      <c r="R44" s="55">
        <v>-12.699174093443601</v>
      </c>
      <c r="S44" s="55">
        <v>25.985678054416201</v>
      </c>
      <c r="T44" s="55">
        <v>-1.90494457166942</v>
      </c>
      <c r="U44" s="99">
        <v>1.48308523747145</v>
      </c>
      <c r="V44" s="56">
        <v>-13.4153429036761</v>
      </c>
    </row>
    <row r="45" spans="1:22" s="26" customFormat="1" x14ac:dyDescent="0.2">
      <c r="A45" s="75" t="str">
        <f>VLOOKUP("&lt;Zeilentitel_33&gt;",Uebersetzungen!$B$3:$E$931,Uebersetzungen!$B$2+1,FALSE)</f>
        <v>C29</v>
      </c>
      <c r="B45" s="83" t="str">
        <f>VLOOKUP("&lt;Zeilentitel_33.1&gt;",Uebersetzungen!$B$3:$E$931,Uebersetzungen!$B$2+1,FALSE)</f>
        <v>Kraftwagen und Kraftwagenteile</v>
      </c>
      <c r="C45" s="32"/>
      <c r="D45" s="46">
        <v>13010.913744695001</v>
      </c>
      <c r="E45" s="65">
        <v>12309.113579701099</v>
      </c>
      <c r="F45" s="65">
        <v>14985.9601389901</v>
      </c>
      <c r="G45" s="65">
        <v>15429.7433787024</v>
      </c>
      <c r="H45" s="65">
        <v>11420.144716798401</v>
      </c>
      <c r="I45" s="65">
        <v>14155.1816568963</v>
      </c>
      <c r="J45" s="65">
        <v>17410.930504535398</v>
      </c>
      <c r="K45" s="93">
        <v>15034.880367576699</v>
      </c>
      <c r="L45" s="66">
        <v>26448.101626616197</v>
      </c>
      <c r="M45" s="44"/>
      <c r="N45" s="54" t="s">
        <v>673</v>
      </c>
      <c r="O45" s="55">
        <v>-5.3939344981064803</v>
      </c>
      <c r="P45" s="55">
        <v>21.746867001888699</v>
      </c>
      <c r="Q45" s="55">
        <v>2.9613267057725201</v>
      </c>
      <c r="R45" s="55">
        <v>-25.986165573164602</v>
      </c>
      <c r="S45" s="55">
        <v>23.949231887358199</v>
      </c>
      <c r="T45" s="55">
        <v>23.0004031495628</v>
      </c>
      <c r="U45" s="99">
        <v>-13.6468877199858</v>
      </c>
      <c r="V45" s="56">
        <v>75.911620046225806</v>
      </c>
    </row>
    <row r="46" spans="1:22" s="26" customFormat="1" x14ac:dyDescent="0.2">
      <c r="A46" s="75" t="str">
        <f>VLOOKUP("&lt;Zeilentitel_34&gt;",Uebersetzungen!$B$3:$E$931,Uebersetzungen!$B$2+1,FALSE)</f>
        <v>C30</v>
      </c>
      <c r="B46" s="83" t="str">
        <f>VLOOKUP("&lt;Zeilentitel_34.1&gt;",Uebersetzungen!$B$3:$E$931,Uebersetzungen!$B$2+1,FALSE)</f>
        <v>Sonstige Fahrzeuge</v>
      </c>
      <c r="C46" s="32"/>
      <c r="D46" s="46">
        <v>10193.050740229401</v>
      </c>
      <c r="E46" s="65">
        <v>17291.3681521703</v>
      </c>
      <c r="F46" s="65">
        <v>2039.8233061619899</v>
      </c>
      <c r="G46" s="65">
        <v>4136.9198777084603</v>
      </c>
      <c r="H46" s="65">
        <v>17835.5099965685</v>
      </c>
      <c r="I46" s="65">
        <v>31111.012462730199</v>
      </c>
      <c r="J46" s="65">
        <v>3014.34584093271</v>
      </c>
      <c r="K46" s="93">
        <v>9129.0075644478802</v>
      </c>
      <c r="L46" s="66">
        <v>38352.151690608596</v>
      </c>
      <c r="M46" s="44"/>
      <c r="N46" s="54" t="s">
        <v>673</v>
      </c>
      <c r="O46" s="55">
        <v>69.638792083371897</v>
      </c>
      <c r="P46" s="55">
        <v>-88.203227828990705</v>
      </c>
      <c r="Q46" s="55">
        <v>102.80775620179701</v>
      </c>
      <c r="R46" s="55">
        <v>331.13017713188299</v>
      </c>
      <c r="S46" s="55">
        <v>74.432984920060093</v>
      </c>
      <c r="T46" s="55">
        <v>-90.311000503298402</v>
      </c>
      <c r="U46" s="99">
        <v>202.852029799711</v>
      </c>
      <c r="V46" s="56">
        <v>320.11304536505901</v>
      </c>
    </row>
    <row r="47" spans="1:22" s="26" customFormat="1" x14ac:dyDescent="0.2">
      <c r="A47" s="75" t="str">
        <f>VLOOKUP("&lt;Zeilentitel_35&gt;",Uebersetzungen!$B$3:$E$931,Uebersetzungen!$B$2+1,FALSE)</f>
        <v>C31</v>
      </c>
      <c r="B47" s="83" t="str">
        <f>VLOOKUP("&lt;Zeilentitel_35.1&gt;",Uebersetzungen!$B$3:$E$931,Uebersetzungen!$B$2+1,FALSE)</f>
        <v>Möbel</v>
      </c>
      <c r="C47" s="32"/>
      <c r="D47" s="46">
        <v>2438.1577356151597</v>
      </c>
      <c r="E47" s="65">
        <v>1303.7438627024201</v>
      </c>
      <c r="F47" s="65">
        <v>693.47028805381899</v>
      </c>
      <c r="G47" s="65">
        <v>640.86899447441101</v>
      </c>
      <c r="H47" s="65">
        <v>711.12198461279991</v>
      </c>
      <c r="I47" s="65">
        <v>694.04934592187101</v>
      </c>
      <c r="J47" s="65">
        <v>1228.7032413961999</v>
      </c>
      <c r="K47" s="93">
        <v>837.684801227506</v>
      </c>
      <c r="L47" s="66">
        <v>1315.54642288543</v>
      </c>
      <c r="M47" s="44"/>
      <c r="N47" s="54" t="s">
        <v>673</v>
      </c>
      <c r="O47" s="55">
        <v>-46.527501331923403</v>
      </c>
      <c r="P47" s="55">
        <v>-46.8093152426136</v>
      </c>
      <c r="Q47" s="55">
        <v>-7.5852267192341998</v>
      </c>
      <c r="R47" s="55">
        <v>10.9621452658987</v>
      </c>
      <c r="S47" s="55">
        <v>-2.4008031055635102</v>
      </c>
      <c r="T47" s="55">
        <v>77.033988810144095</v>
      </c>
      <c r="U47" s="99">
        <v>-31.823667993613601</v>
      </c>
      <c r="V47" s="56">
        <v>57.045516518586801</v>
      </c>
    </row>
    <row r="48" spans="1:22" s="26" customFormat="1" x14ac:dyDescent="0.2">
      <c r="A48" s="75" t="str">
        <f>VLOOKUP("&lt;Zeilentitel_36&gt;",Uebersetzungen!$B$3:$E$931,Uebersetzungen!$B$2+1,FALSE)</f>
        <v>C32</v>
      </c>
      <c r="B48" s="83" t="str">
        <f>VLOOKUP("&lt;Zeilentitel_36.1&gt;",Uebersetzungen!$B$3:$E$931,Uebersetzungen!$B$2+1,FALSE)</f>
        <v>Waren, a.n.g.</v>
      </c>
      <c r="C48" s="32"/>
      <c r="D48" s="46">
        <v>183473.05669264201</v>
      </c>
      <c r="E48" s="65">
        <v>191876.103556755</v>
      </c>
      <c r="F48" s="65">
        <v>233184.68584416699</v>
      </c>
      <c r="G48" s="65">
        <v>260889.60670702401</v>
      </c>
      <c r="H48" s="65">
        <v>431720.05289720302</v>
      </c>
      <c r="I48" s="65">
        <v>325942.39906591998</v>
      </c>
      <c r="J48" s="65">
        <v>178575.68401151901</v>
      </c>
      <c r="K48" s="93">
        <v>197393.52523673401</v>
      </c>
      <c r="L48" s="66">
        <v>191266.561027246</v>
      </c>
      <c r="M48" s="44"/>
      <c r="N48" s="54" t="s">
        <v>673</v>
      </c>
      <c r="O48" s="55">
        <v>4.5799895720870296</v>
      </c>
      <c r="P48" s="55">
        <v>21.528778999409699</v>
      </c>
      <c r="Q48" s="55">
        <v>11.881106498293599</v>
      </c>
      <c r="R48" s="55">
        <v>65.479973827405004</v>
      </c>
      <c r="S48" s="55">
        <v>-24.501445582948001</v>
      </c>
      <c r="T48" s="55">
        <v>-45.212502416599399</v>
      </c>
      <c r="U48" s="99">
        <v>10.5377399668824</v>
      </c>
      <c r="V48" s="56">
        <v>-3.1039337294070002</v>
      </c>
    </row>
    <row r="49" spans="1:22" s="26" customFormat="1" x14ac:dyDescent="0.2">
      <c r="A49" s="75" t="str">
        <f>VLOOKUP("&lt;Zeilentitel_37&gt;",Uebersetzungen!$B$3:$E$931,Uebersetzungen!$B$2+1,FALSE)</f>
        <v>C33</v>
      </c>
      <c r="B49" s="83" t="str">
        <f>VLOOKUP("&lt;Zeilentitel_37.1&gt;",Uebersetzungen!$B$3:$E$931,Uebersetzungen!$B$2+1,FALSE)</f>
        <v>Reparatur- und Installationsarbeiten an Maschinen und Ausrüstungen</v>
      </c>
      <c r="C49" s="32"/>
      <c r="D49" s="46" t="s">
        <v>673</v>
      </c>
      <c r="E49" s="65" t="s">
        <v>673</v>
      </c>
      <c r="F49" s="65" t="s">
        <v>673</v>
      </c>
      <c r="G49" s="65" t="s">
        <v>673</v>
      </c>
      <c r="H49" s="65" t="s">
        <v>673</v>
      </c>
      <c r="I49" s="65" t="s">
        <v>673</v>
      </c>
      <c r="J49" s="65" t="s">
        <v>673</v>
      </c>
      <c r="K49" s="93" t="s">
        <v>673</v>
      </c>
      <c r="L49" s="66" t="s">
        <v>673</v>
      </c>
      <c r="M49" s="44"/>
      <c r="N49" s="54" t="s">
        <v>673</v>
      </c>
      <c r="O49" s="55" t="s">
        <v>673</v>
      </c>
      <c r="P49" s="55" t="s">
        <v>673</v>
      </c>
      <c r="Q49" s="55" t="s">
        <v>673</v>
      </c>
      <c r="R49" s="55" t="s">
        <v>673</v>
      </c>
      <c r="S49" s="55" t="s">
        <v>673</v>
      </c>
      <c r="T49" s="55" t="s">
        <v>673</v>
      </c>
      <c r="U49" s="99" t="s">
        <v>673</v>
      </c>
      <c r="V49" s="56" t="s">
        <v>673</v>
      </c>
    </row>
    <row r="50" spans="1:22" s="26" customFormat="1" x14ac:dyDescent="0.2">
      <c r="A50" s="77" t="str">
        <f>VLOOKUP("&lt;Zeilentitel_38&gt;",Uebersetzungen!$B$3:$E$931,Uebersetzungen!$B$2+1,FALSE)</f>
        <v>D</v>
      </c>
      <c r="B50" s="84" t="str">
        <f>VLOOKUP("&lt;Zeilentitel_38.1&gt;",Uebersetzungen!$B$3:$E$931,Uebersetzungen!$B$2+1,FALSE)</f>
        <v>ENERGIE UND DIENSTLEISTUNGEN DER ENERGIEVERSORGUNG</v>
      </c>
      <c r="C50" s="32"/>
      <c r="D50" s="45" t="s">
        <v>673</v>
      </c>
      <c r="E50" s="63">
        <v>8291.8757943173296</v>
      </c>
      <c r="F50" s="63">
        <v>16651.775941984801</v>
      </c>
      <c r="G50" s="63">
        <v>10986.057456326</v>
      </c>
      <c r="H50" s="63">
        <v>6517.5134323960801</v>
      </c>
      <c r="I50" s="63">
        <v>16336.1890071323</v>
      </c>
      <c r="J50" s="63">
        <v>69730.776534117394</v>
      </c>
      <c r="K50" s="92">
        <v>28627.955560116898</v>
      </c>
      <c r="L50" s="64">
        <v>22704.605727190999</v>
      </c>
      <c r="M50" s="43"/>
      <c r="N50" s="51" t="s">
        <v>673</v>
      </c>
      <c r="O50" s="52" t="s">
        <v>673</v>
      </c>
      <c r="P50" s="52">
        <v>100.82037352026801</v>
      </c>
      <c r="Q50" s="52">
        <v>-34.024710069354299</v>
      </c>
      <c r="R50" s="52">
        <v>-40.674682812229499</v>
      </c>
      <c r="S50" s="52">
        <v>150.65063810887301</v>
      </c>
      <c r="T50" s="52">
        <v>326.84849265439698</v>
      </c>
      <c r="U50" s="98">
        <v>-58.945021146996702</v>
      </c>
      <c r="V50" s="53">
        <v>-20.690788835714201</v>
      </c>
    </row>
    <row r="51" spans="1:22" s="26" customFormat="1" x14ac:dyDescent="0.2">
      <c r="A51" s="75" t="str">
        <f>VLOOKUP("&lt;Zeilentitel_39&gt;",Uebersetzungen!$B$3:$E$931,Uebersetzungen!$B$2+1,FALSE)</f>
        <v>D35</v>
      </c>
      <c r="B51" s="83" t="str">
        <f>VLOOKUP("&lt;Zeilentitel_39.1&gt;",Uebersetzungen!$B$3:$E$931,Uebersetzungen!$B$2+1,FALSE)</f>
        <v>Energie und Dienstleistungen der Energieversorgung</v>
      </c>
      <c r="C51" s="32"/>
      <c r="D51" s="46" t="s">
        <v>673</v>
      </c>
      <c r="E51" s="65">
        <v>8291.8757943173296</v>
      </c>
      <c r="F51" s="65">
        <v>16651.775941984801</v>
      </c>
      <c r="G51" s="65">
        <v>10986.057456326</v>
      </c>
      <c r="H51" s="65">
        <v>6517.5134323960801</v>
      </c>
      <c r="I51" s="65">
        <v>16336.1890071323</v>
      </c>
      <c r="J51" s="65">
        <v>69730.776534117394</v>
      </c>
      <c r="K51" s="93">
        <v>28627.955560116898</v>
      </c>
      <c r="L51" s="66">
        <v>22704.605727190999</v>
      </c>
      <c r="M51" s="44"/>
      <c r="N51" s="54" t="s">
        <v>673</v>
      </c>
      <c r="O51" s="55" t="s">
        <v>673</v>
      </c>
      <c r="P51" s="55">
        <v>100.82037352026801</v>
      </c>
      <c r="Q51" s="55">
        <v>-34.024710069354299</v>
      </c>
      <c r="R51" s="55">
        <v>-40.674682812229499</v>
      </c>
      <c r="S51" s="55">
        <v>150.65063810887301</v>
      </c>
      <c r="T51" s="55">
        <v>326.84849265439698</v>
      </c>
      <c r="U51" s="99">
        <v>-58.945021146996702</v>
      </c>
      <c r="V51" s="56">
        <v>-20.690788835714201</v>
      </c>
    </row>
    <row r="52" spans="1:22" s="26" customFormat="1" ht="28.5" x14ac:dyDescent="0.2">
      <c r="A52" s="77" t="str">
        <f>VLOOKUP("&lt;Zeilentitel_40&gt;",Uebersetzungen!$B$3:$E$931,Uebersetzungen!$B$2+1,FALSE)</f>
        <v>E</v>
      </c>
      <c r="B52" s="84" t="str">
        <f>VLOOKUP("&lt;Zeilentitel_40.1&gt;",Uebersetzungen!$B$3:$E$931,Uebersetzungen!$B$2+1,FALSE)</f>
        <v>WASSER; DIENSTLEISTUNGEN DER ABWASSER- UND ABFALLENTSORGUNG UND DER BESEITIGUNG VON UMWELTVERSCHMUTZUNGEN</v>
      </c>
      <c r="C52" s="32"/>
      <c r="D52" s="45">
        <v>3889.22588610308</v>
      </c>
      <c r="E52" s="63">
        <v>5237.2581533210696</v>
      </c>
      <c r="F52" s="63">
        <v>7220.8125698036802</v>
      </c>
      <c r="G52" s="63">
        <v>5481.1395189020195</v>
      </c>
      <c r="H52" s="63">
        <v>4753.6892847238796</v>
      </c>
      <c r="I52" s="63">
        <v>8558.1750514447085</v>
      </c>
      <c r="J52" s="63">
        <v>8267.9670158319004</v>
      </c>
      <c r="K52" s="92">
        <v>6491.7984580555503</v>
      </c>
      <c r="L52" s="64">
        <v>6953.9627420762599</v>
      </c>
      <c r="M52" s="43"/>
      <c r="N52" s="51" t="s">
        <v>673</v>
      </c>
      <c r="O52" s="52">
        <v>34.660683300364802</v>
      </c>
      <c r="P52" s="52">
        <v>37.873909561337697</v>
      </c>
      <c r="Q52" s="52">
        <v>-24.092483139317299</v>
      </c>
      <c r="R52" s="52">
        <v>-13.271879536536</v>
      </c>
      <c r="S52" s="52">
        <v>80.032276803338107</v>
      </c>
      <c r="T52" s="52">
        <v>-3.3910037346550999</v>
      </c>
      <c r="U52" s="98">
        <v>-21.4825307645187</v>
      </c>
      <c r="V52" s="53">
        <v>7.1192025908816499</v>
      </c>
    </row>
    <row r="53" spans="1:22" s="26" customFormat="1" x14ac:dyDescent="0.2">
      <c r="A53" s="75" t="str">
        <f>VLOOKUP("&lt;Zeilentitel_41&gt;",Uebersetzungen!$B$3:$E$931,Uebersetzungen!$B$2+1,FALSE)</f>
        <v>E36</v>
      </c>
      <c r="B53" s="83" t="str">
        <f>VLOOKUP("&lt;Zeilentitel_41.1&gt;",Uebersetzungen!$B$3:$E$931,Uebersetzungen!$B$2+1,FALSE)</f>
        <v>Wasser; Dienstleistungen der Wasserversorgung sowie des Wasserhandels durch Rohrleitungen</v>
      </c>
      <c r="C53" s="32"/>
      <c r="D53" s="46" t="s">
        <v>673</v>
      </c>
      <c r="E53" s="65" t="s">
        <v>673</v>
      </c>
      <c r="F53" s="65" t="s">
        <v>673</v>
      </c>
      <c r="G53" s="65" t="s">
        <v>673</v>
      </c>
      <c r="H53" s="65" t="s">
        <v>673</v>
      </c>
      <c r="I53" s="65" t="s">
        <v>673</v>
      </c>
      <c r="J53" s="65" t="s">
        <v>673</v>
      </c>
      <c r="K53" s="93" t="s">
        <v>673</v>
      </c>
      <c r="L53" s="66" t="s">
        <v>673</v>
      </c>
      <c r="M53" s="44"/>
      <c r="N53" s="54" t="s">
        <v>673</v>
      </c>
      <c r="O53" s="55" t="s">
        <v>673</v>
      </c>
      <c r="P53" s="55" t="s">
        <v>673</v>
      </c>
      <c r="Q53" s="55" t="s">
        <v>673</v>
      </c>
      <c r="R53" s="55" t="s">
        <v>673</v>
      </c>
      <c r="S53" s="55" t="s">
        <v>673</v>
      </c>
      <c r="T53" s="55" t="s">
        <v>673</v>
      </c>
      <c r="U53" s="99" t="s">
        <v>673</v>
      </c>
      <c r="V53" s="56" t="s">
        <v>673</v>
      </c>
    </row>
    <row r="54" spans="1:22" s="26" customFormat="1" x14ac:dyDescent="0.2">
      <c r="A54" s="75" t="str">
        <f>VLOOKUP("&lt;Zeilentitel_42&gt;",Uebersetzungen!$B$3:$E$931,Uebersetzungen!$B$2+1,FALSE)</f>
        <v>E37</v>
      </c>
      <c r="B54" s="83" t="str">
        <f>VLOOKUP("&lt;Zeilentitel_42.1&gt;",Uebersetzungen!$B$3:$E$931,Uebersetzungen!$B$2+1,FALSE)</f>
        <v>Abwasserentsorgungsdienstleistungen</v>
      </c>
      <c r="C54" s="32"/>
      <c r="D54" s="46" t="s">
        <v>673</v>
      </c>
      <c r="E54" s="65">
        <v>0.24500943731454899</v>
      </c>
      <c r="F54" s="65" t="s">
        <v>673</v>
      </c>
      <c r="G54" s="65" t="s">
        <v>673</v>
      </c>
      <c r="H54" s="65" t="s">
        <v>673</v>
      </c>
      <c r="I54" s="65">
        <v>1.9072096570935903E-2</v>
      </c>
      <c r="J54" s="65" t="s">
        <v>673</v>
      </c>
      <c r="K54" s="93" t="s">
        <v>673</v>
      </c>
      <c r="L54" s="66">
        <v>0.10448726088600001</v>
      </c>
      <c r="M54" s="44"/>
      <c r="N54" s="54" t="s">
        <v>673</v>
      </c>
      <c r="O54" s="55" t="s">
        <v>673</v>
      </c>
      <c r="P54" s="55" t="s">
        <v>673</v>
      </c>
      <c r="Q54" s="55" t="s">
        <v>673</v>
      </c>
      <c r="R54" s="55" t="s">
        <v>673</v>
      </c>
      <c r="S54" s="55" t="s">
        <v>673</v>
      </c>
      <c r="T54" s="55" t="s">
        <v>673</v>
      </c>
      <c r="U54" s="99" t="s">
        <v>673</v>
      </c>
      <c r="V54" s="56" t="s">
        <v>673</v>
      </c>
    </row>
    <row r="55" spans="1:22" s="26" customFormat="1" x14ac:dyDescent="0.2">
      <c r="A55" s="75" t="str">
        <f>VLOOKUP("&lt;Zeilentitel_43&gt;",Uebersetzungen!$B$3:$E$931,Uebersetzungen!$B$2+1,FALSE)</f>
        <v>E38</v>
      </c>
      <c r="B55" s="83" t="str">
        <f>VLOOKUP("&lt;Zeilentitel_43.1&gt;",Uebersetzungen!$B$3:$E$931,Uebersetzungen!$B$2+1,FALSE)</f>
        <v>Dienstleistungen der Sammlung, Behandlung und Beseitigung von Abfällen sowie zur Rückgewinnung von Wertstoffen</v>
      </c>
      <c r="C55" s="32"/>
      <c r="D55" s="46">
        <v>3889.22588610308</v>
      </c>
      <c r="E55" s="65">
        <v>5237.0131438837598</v>
      </c>
      <c r="F55" s="65">
        <v>7220.8125698036802</v>
      </c>
      <c r="G55" s="65">
        <v>5481.1395189020195</v>
      </c>
      <c r="H55" s="65">
        <v>4753.6892847238796</v>
      </c>
      <c r="I55" s="65">
        <v>8558.1559793481392</v>
      </c>
      <c r="J55" s="65">
        <v>8267.9670158319004</v>
      </c>
      <c r="K55" s="93">
        <v>6491.7984580555503</v>
      </c>
      <c r="L55" s="66">
        <v>6953.8582548153599</v>
      </c>
      <c r="M55" s="44"/>
      <c r="N55" s="54" t="s">
        <v>673</v>
      </c>
      <c r="O55" s="55">
        <v>34.654383603600401</v>
      </c>
      <c r="P55" s="55">
        <v>37.880359881028198</v>
      </c>
      <c r="Q55" s="55">
        <v>-24.092483139317299</v>
      </c>
      <c r="R55" s="55">
        <v>-13.2718795365359</v>
      </c>
      <c r="S55" s="55">
        <v>80.031875597129002</v>
      </c>
      <c r="T55" s="55">
        <v>-3.3907884387302598</v>
      </c>
      <c r="U55" s="99">
        <v>-21.482530764518799</v>
      </c>
      <c r="V55" s="56">
        <v>7.1175930636979601</v>
      </c>
    </row>
    <row r="56" spans="1:22" s="26" customFormat="1" x14ac:dyDescent="0.2">
      <c r="A56" s="75" t="str">
        <f>VLOOKUP("&lt;Zeilentitel_44&gt;",Uebersetzungen!$B$3:$E$931,Uebersetzungen!$B$2+1,FALSE)</f>
        <v>E39</v>
      </c>
      <c r="B56" s="83" t="str">
        <f>VLOOKUP("&lt;Zeilentitel_44.1&gt;",Uebersetzungen!$B$3:$E$931,Uebersetzungen!$B$2+1,FALSE)</f>
        <v>Dienstleistungen der Beseitigung von Umweltverschmutzungen und sonstigen Entsorgung</v>
      </c>
      <c r="C56" s="32"/>
      <c r="D56" s="46" t="s">
        <v>673</v>
      </c>
      <c r="E56" s="65" t="s">
        <v>673</v>
      </c>
      <c r="F56" s="65" t="s">
        <v>673</v>
      </c>
      <c r="G56" s="65" t="s">
        <v>673</v>
      </c>
      <c r="H56" s="65" t="s">
        <v>673</v>
      </c>
      <c r="I56" s="65" t="s">
        <v>673</v>
      </c>
      <c r="J56" s="65" t="s">
        <v>673</v>
      </c>
      <c r="K56" s="93" t="s">
        <v>673</v>
      </c>
      <c r="L56" s="66" t="s">
        <v>673</v>
      </c>
      <c r="M56" s="44"/>
      <c r="N56" s="54" t="s">
        <v>673</v>
      </c>
      <c r="O56" s="55" t="s">
        <v>673</v>
      </c>
      <c r="P56" s="55" t="s">
        <v>673</v>
      </c>
      <c r="Q56" s="55" t="s">
        <v>673</v>
      </c>
      <c r="R56" s="55" t="s">
        <v>673</v>
      </c>
      <c r="S56" s="55" t="s">
        <v>673</v>
      </c>
      <c r="T56" s="55" t="s">
        <v>673</v>
      </c>
      <c r="U56" s="99" t="s">
        <v>673</v>
      </c>
      <c r="V56" s="56" t="s">
        <v>673</v>
      </c>
    </row>
    <row r="57" spans="1:22" s="26" customFormat="1" x14ac:dyDescent="0.2">
      <c r="A57" s="77" t="str">
        <f>VLOOKUP("&lt;Zeilentitel_45&gt;",Uebersetzungen!$B$3:$E$931,Uebersetzungen!$B$2+1,FALSE)</f>
        <v>F</v>
      </c>
      <c r="B57" s="84" t="str">
        <f>VLOOKUP("&lt;Zeilentitel_45.1&gt;",Uebersetzungen!$B$3:$E$931,Uebersetzungen!$B$2+1,FALSE)</f>
        <v>GEBÄUDE UND BAUARBEITEN</v>
      </c>
      <c r="C57" s="32"/>
      <c r="D57" s="45" t="s">
        <v>673</v>
      </c>
      <c r="E57" s="63" t="s">
        <v>673</v>
      </c>
      <c r="F57" s="63" t="s">
        <v>673</v>
      </c>
      <c r="G57" s="63" t="s">
        <v>673</v>
      </c>
      <c r="H57" s="63" t="s">
        <v>673</v>
      </c>
      <c r="I57" s="63" t="s">
        <v>673</v>
      </c>
      <c r="J57" s="63" t="s">
        <v>673</v>
      </c>
      <c r="K57" s="92" t="s">
        <v>673</v>
      </c>
      <c r="L57" s="64" t="s">
        <v>673</v>
      </c>
      <c r="M57" s="43"/>
      <c r="N57" s="51" t="s">
        <v>673</v>
      </c>
      <c r="O57" s="52" t="s">
        <v>673</v>
      </c>
      <c r="P57" s="52" t="s">
        <v>673</v>
      </c>
      <c r="Q57" s="52" t="s">
        <v>673</v>
      </c>
      <c r="R57" s="52" t="s">
        <v>673</v>
      </c>
      <c r="S57" s="52" t="s">
        <v>673</v>
      </c>
      <c r="T57" s="52" t="s">
        <v>673</v>
      </c>
      <c r="U57" s="98" t="s">
        <v>673</v>
      </c>
      <c r="V57" s="53" t="s">
        <v>673</v>
      </c>
    </row>
    <row r="58" spans="1:22" s="26" customFormat="1" x14ac:dyDescent="0.2">
      <c r="A58" s="75" t="str">
        <f>VLOOKUP("&lt;Zeilentitel_46&gt;",Uebersetzungen!$B$3:$E$931,Uebersetzungen!$B$2+1,FALSE)</f>
        <v>F41</v>
      </c>
      <c r="B58" s="83" t="str">
        <f>VLOOKUP("&lt;Zeilentitel_46.1&gt;",Uebersetzungen!$B$3:$E$931,Uebersetzungen!$B$2+1,FALSE)</f>
        <v>Gebäude und Hochbauarbeiten</v>
      </c>
      <c r="C58" s="32"/>
      <c r="D58" s="46" t="s">
        <v>673</v>
      </c>
      <c r="E58" s="65" t="s">
        <v>673</v>
      </c>
      <c r="F58" s="65" t="s">
        <v>673</v>
      </c>
      <c r="G58" s="65" t="s">
        <v>673</v>
      </c>
      <c r="H58" s="65" t="s">
        <v>673</v>
      </c>
      <c r="I58" s="65" t="s">
        <v>673</v>
      </c>
      <c r="J58" s="65" t="s">
        <v>673</v>
      </c>
      <c r="K58" s="93" t="s">
        <v>673</v>
      </c>
      <c r="L58" s="66" t="s">
        <v>673</v>
      </c>
      <c r="M58" s="44"/>
      <c r="N58" s="54" t="s">
        <v>673</v>
      </c>
      <c r="O58" s="55" t="s">
        <v>673</v>
      </c>
      <c r="P58" s="55" t="s">
        <v>673</v>
      </c>
      <c r="Q58" s="55" t="s">
        <v>673</v>
      </c>
      <c r="R58" s="55" t="s">
        <v>673</v>
      </c>
      <c r="S58" s="55" t="s">
        <v>673</v>
      </c>
      <c r="T58" s="55" t="s">
        <v>673</v>
      </c>
      <c r="U58" s="99" t="s">
        <v>673</v>
      </c>
      <c r="V58" s="56" t="s">
        <v>673</v>
      </c>
    </row>
    <row r="59" spans="1:22" s="26" customFormat="1" x14ac:dyDescent="0.2">
      <c r="A59" s="75" t="str">
        <f>VLOOKUP("&lt;Zeilentitel_47&gt;",Uebersetzungen!$B$3:$E$931,Uebersetzungen!$B$2+1,FALSE)</f>
        <v>F42</v>
      </c>
      <c r="B59" s="83" t="str">
        <f>VLOOKUP("&lt;Zeilentitel_47.1&gt;",Uebersetzungen!$B$3:$E$931,Uebersetzungen!$B$2+1,FALSE)</f>
        <v>Tiefbauten und Tiefbauarbeiten</v>
      </c>
      <c r="C59" s="32"/>
      <c r="D59" s="46" t="s">
        <v>673</v>
      </c>
      <c r="E59" s="65" t="s">
        <v>673</v>
      </c>
      <c r="F59" s="65" t="s">
        <v>673</v>
      </c>
      <c r="G59" s="65" t="s">
        <v>673</v>
      </c>
      <c r="H59" s="65" t="s">
        <v>673</v>
      </c>
      <c r="I59" s="65" t="s">
        <v>673</v>
      </c>
      <c r="J59" s="65" t="s">
        <v>673</v>
      </c>
      <c r="K59" s="93" t="s">
        <v>673</v>
      </c>
      <c r="L59" s="66" t="s">
        <v>673</v>
      </c>
      <c r="M59" s="44"/>
      <c r="N59" s="54" t="s">
        <v>673</v>
      </c>
      <c r="O59" s="55" t="s">
        <v>673</v>
      </c>
      <c r="P59" s="55" t="s">
        <v>673</v>
      </c>
      <c r="Q59" s="55" t="s">
        <v>673</v>
      </c>
      <c r="R59" s="55" t="s">
        <v>673</v>
      </c>
      <c r="S59" s="55" t="s">
        <v>673</v>
      </c>
      <c r="T59" s="55" t="s">
        <v>673</v>
      </c>
      <c r="U59" s="99" t="s">
        <v>673</v>
      </c>
      <c r="V59" s="56" t="s">
        <v>673</v>
      </c>
    </row>
    <row r="60" spans="1:22" s="26" customFormat="1" x14ac:dyDescent="0.2">
      <c r="A60" s="75" t="str">
        <f>VLOOKUP("&lt;Zeilentitel_48&gt;",Uebersetzungen!$B$3:$E$931,Uebersetzungen!$B$2+1,FALSE)</f>
        <v>F43</v>
      </c>
      <c r="B60" s="83" t="str">
        <f>VLOOKUP("&lt;Zeilentitel_48.1&gt;",Uebersetzungen!$B$3:$E$931,Uebersetzungen!$B$2+1,FALSE)</f>
        <v>Vorbereitende Baustellenarbeiten, Bauinstallationsarbeiten und sonstige Ausbauarbeiten</v>
      </c>
      <c r="C60" s="32"/>
      <c r="D60" s="46" t="s">
        <v>673</v>
      </c>
      <c r="E60" s="65" t="s">
        <v>673</v>
      </c>
      <c r="F60" s="65" t="s">
        <v>673</v>
      </c>
      <c r="G60" s="65" t="s">
        <v>673</v>
      </c>
      <c r="H60" s="65" t="s">
        <v>673</v>
      </c>
      <c r="I60" s="65" t="s">
        <v>673</v>
      </c>
      <c r="J60" s="65" t="s">
        <v>673</v>
      </c>
      <c r="K60" s="93" t="s">
        <v>673</v>
      </c>
      <c r="L60" s="66" t="s">
        <v>673</v>
      </c>
      <c r="M60" s="44"/>
      <c r="N60" s="54" t="s">
        <v>673</v>
      </c>
      <c r="O60" s="55" t="s">
        <v>673</v>
      </c>
      <c r="P60" s="55" t="s">
        <v>673</v>
      </c>
      <c r="Q60" s="55" t="s">
        <v>673</v>
      </c>
      <c r="R60" s="55" t="s">
        <v>673</v>
      </c>
      <c r="S60" s="55" t="s">
        <v>673</v>
      </c>
      <c r="T60" s="55" t="s">
        <v>673</v>
      </c>
      <c r="U60" s="99" t="s">
        <v>673</v>
      </c>
      <c r="V60" s="56" t="s">
        <v>673</v>
      </c>
    </row>
    <row r="61" spans="1:22" s="26" customFormat="1" x14ac:dyDescent="0.2">
      <c r="A61" s="77" t="str">
        <f>VLOOKUP("&lt;Zeilentitel_49&gt;",Uebersetzungen!$B$3:$E$931,Uebersetzungen!$B$2+1,FALSE)</f>
        <v>G</v>
      </c>
      <c r="B61" s="84" t="str">
        <f>VLOOKUP("&lt;Zeilentitel_49.1&gt;",Uebersetzungen!$B$3:$E$931,Uebersetzungen!$B$2+1,FALSE)</f>
        <v>HANDELSLEISTUNGEN; INSTANDHALTUNGS- UND REPARATURARBEITEN AN KRAFTFAHRZEUGEN</v>
      </c>
      <c r="C61" s="32"/>
      <c r="D61" s="45" t="s">
        <v>673</v>
      </c>
      <c r="E61" s="63" t="s">
        <v>673</v>
      </c>
      <c r="F61" s="63" t="s">
        <v>673</v>
      </c>
      <c r="G61" s="63" t="s">
        <v>673</v>
      </c>
      <c r="H61" s="63" t="s">
        <v>673</v>
      </c>
      <c r="I61" s="63" t="s">
        <v>673</v>
      </c>
      <c r="J61" s="63" t="s">
        <v>673</v>
      </c>
      <c r="K61" s="92" t="s">
        <v>673</v>
      </c>
      <c r="L61" s="64" t="s">
        <v>673</v>
      </c>
      <c r="M61" s="43"/>
      <c r="N61" s="51" t="s">
        <v>673</v>
      </c>
      <c r="O61" s="52" t="s">
        <v>673</v>
      </c>
      <c r="P61" s="52" t="s">
        <v>673</v>
      </c>
      <c r="Q61" s="52" t="s">
        <v>673</v>
      </c>
      <c r="R61" s="52" t="s">
        <v>673</v>
      </c>
      <c r="S61" s="52" t="s">
        <v>673</v>
      </c>
      <c r="T61" s="52" t="s">
        <v>673</v>
      </c>
      <c r="U61" s="98" t="s">
        <v>673</v>
      </c>
      <c r="V61" s="53" t="s">
        <v>673</v>
      </c>
    </row>
    <row r="62" spans="1:22" s="26" customFormat="1" x14ac:dyDescent="0.2">
      <c r="A62" s="75" t="str">
        <f>VLOOKUP("&lt;Zeilentitel_50&gt;",Uebersetzungen!$B$3:$E$931,Uebersetzungen!$B$2+1,FALSE)</f>
        <v>G45</v>
      </c>
      <c r="B62" s="83" t="str">
        <f>VLOOKUP("&lt;Zeilentitel_50.1&gt;",Uebersetzungen!$B$3:$E$931,Uebersetzungen!$B$2+1,FALSE)</f>
        <v>Handelsleistungen mit Kraftfahrzeugen; Instandhaltungs- und Reparaturarbeiten an Kraftfahrzeugen</v>
      </c>
      <c r="C62" s="32"/>
      <c r="D62" s="46" t="s">
        <v>673</v>
      </c>
      <c r="E62" s="65" t="s">
        <v>673</v>
      </c>
      <c r="F62" s="65" t="s">
        <v>673</v>
      </c>
      <c r="G62" s="65" t="s">
        <v>673</v>
      </c>
      <c r="H62" s="65" t="s">
        <v>673</v>
      </c>
      <c r="I62" s="65" t="s">
        <v>673</v>
      </c>
      <c r="J62" s="65" t="s">
        <v>673</v>
      </c>
      <c r="K62" s="93" t="s">
        <v>673</v>
      </c>
      <c r="L62" s="66" t="s">
        <v>673</v>
      </c>
      <c r="M62" s="44"/>
      <c r="N62" s="54" t="s">
        <v>673</v>
      </c>
      <c r="O62" s="55" t="s">
        <v>673</v>
      </c>
      <c r="P62" s="55" t="s">
        <v>673</v>
      </c>
      <c r="Q62" s="55" t="s">
        <v>673</v>
      </c>
      <c r="R62" s="55" t="s">
        <v>673</v>
      </c>
      <c r="S62" s="55" t="s">
        <v>673</v>
      </c>
      <c r="T62" s="55" t="s">
        <v>673</v>
      </c>
      <c r="U62" s="99" t="s">
        <v>673</v>
      </c>
      <c r="V62" s="56" t="s">
        <v>673</v>
      </c>
    </row>
    <row r="63" spans="1:22" s="26" customFormat="1" x14ac:dyDescent="0.2">
      <c r="A63" s="75" t="str">
        <f>VLOOKUP("&lt;Zeilentitel_51&gt;",Uebersetzungen!$B$3:$E$931,Uebersetzungen!$B$2+1,FALSE)</f>
        <v>G46</v>
      </c>
      <c r="B63" s="83" t="str">
        <f>VLOOKUP("&lt;Zeilentitel_51.1&gt;",Uebersetzungen!$B$3:$E$931,Uebersetzungen!$B$2+1,FALSE)</f>
        <v>Großhandelsleistungen (ohne Handelsleistungen mit Kraftfahrzeugen)</v>
      </c>
      <c r="C63" s="32"/>
      <c r="D63" s="46" t="s">
        <v>673</v>
      </c>
      <c r="E63" s="65" t="s">
        <v>673</v>
      </c>
      <c r="F63" s="65" t="s">
        <v>673</v>
      </c>
      <c r="G63" s="65" t="s">
        <v>673</v>
      </c>
      <c r="H63" s="65" t="s">
        <v>673</v>
      </c>
      <c r="I63" s="65" t="s">
        <v>673</v>
      </c>
      <c r="J63" s="65" t="s">
        <v>673</v>
      </c>
      <c r="K63" s="93" t="s">
        <v>673</v>
      </c>
      <c r="L63" s="66" t="s">
        <v>673</v>
      </c>
      <c r="M63" s="44"/>
      <c r="N63" s="54" t="s">
        <v>673</v>
      </c>
      <c r="O63" s="55" t="s">
        <v>673</v>
      </c>
      <c r="P63" s="55" t="s">
        <v>673</v>
      </c>
      <c r="Q63" s="55" t="s">
        <v>673</v>
      </c>
      <c r="R63" s="55" t="s">
        <v>673</v>
      </c>
      <c r="S63" s="55" t="s">
        <v>673</v>
      </c>
      <c r="T63" s="55" t="s">
        <v>673</v>
      </c>
      <c r="U63" s="99" t="s">
        <v>673</v>
      </c>
      <c r="V63" s="56" t="s">
        <v>673</v>
      </c>
    </row>
    <row r="64" spans="1:22" s="26" customFormat="1" x14ac:dyDescent="0.2">
      <c r="A64" s="75" t="str">
        <f>VLOOKUP("&lt;Zeilentitel_52&gt;",Uebersetzungen!$B$3:$E$931,Uebersetzungen!$B$2+1,FALSE)</f>
        <v>G47</v>
      </c>
      <c r="B64" s="83" t="str">
        <f>VLOOKUP("&lt;Zeilentitel_52.1&gt;",Uebersetzungen!$B$3:$E$931,Uebersetzungen!$B$2+1,FALSE)</f>
        <v>Einzelhandelsleistungen (ohne Handelsleistungen mit Kraftfahrzeugen)</v>
      </c>
      <c r="C64" s="32"/>
      <c r="D64" s="46" t="s">
        <v>673</v>
      </c>
      <c r="E64" s="65" t="s">
        <v>673</v>
      </c>
      <c r="F64" s="65" t="s">
        <v>673</v>
      </c>
      <c r="G64" s="65" t="s">
        <v>673</v>
      </c>
      <c r="H64" s="65" t="s">
        <v>673</v>
      </c>
      <c r="I64" s="65" t="s">
        <v>673</v>
      </c>
      <c r="J64" s="65" t="s">
        <v>673</v>
      </c>
      <c r="K64" s="93" t="s">
        <v>673</v>
      </c>
      <c r="L64" s="66" t="s">
        <v>673</v>
      </c>
      <c r="M64" s="44"/>
      <c r="N64" s="54" t="s">
        <v>673</v>
      </c>
      <c r="O64" s="55" t="s">
        <v>673</v>
      </c>
      <c r="P64" s="55" t="s">
        <v>673</v>
      </c>
      <c r="Q64" s="55" t="s">
        <v>673</v>
      </c>
      <c r="R64" s="55" t="s">
        <v>673</v>
      </c>
      <c r="S64" s="55" t="s">
        <v>673</v>
      </c>
      <c r="T64" s="55" t="s">
        <v>673</v>
      </c>
      <c r="U64" s="99" t="s">
        <v>673</v>
      </c>
      <c r="V64" s="56" t="s">
        <v>673</v>
      </c>
    </row>
    <row r="65" spans="1:22" s="26" customFormat="1" x14ac:dyDescent="0.2">
      <c r="A65" s="77" t="str">
        <f>VLOOKUP("&lt;Zeilentitel_53&gt;",Uebersetzungen!$B$3:$E$931,Uebersetzungen!$B$2+1,FALSE)</f>
        <v>H</v>
      </c>
      <c r="B65" s="84" t="str">
        <f>VLOOKUP("&lt;Zeilentitel_53.1&gt;",Uebersetzungen!$B$3:$E$931,Uebersetzungen!$B$2+1,FALSE)</f>
        <v>VERKEHRS- UND LAGEREILEISTUNGEN</v>
      </c>
      <c r="C65" s="32"/>
      <c r="D65" s="45" t="s">
        <v>673</v>
      </c>
      <c r="E65" s="63" t="s">
        <v>673</v>
      </c>
      <c r="F65" s="63" t="s">
        <v>673</v>
      </c>
      <c r="G65" s="63" t="s">
        <v>673</v>
      </c>
      <c r="H65" s="63" t="s">
        <v>673</v>
      </c>
      <c r="I65" s="63" t="s">
        <v>673</v>
      </c>
      <c r="J65" s="63" t="s">
        <v>673</v>
      </c>
      <c r="K65" s="92" t="s">
        <v>673</v>
      </c>
      <c r="L65" s="64" t="s">
        <v>673</v>
      </c>
      <c r="M65" s="43"/>
      <c r="N65" s="51" t="s">
        <v>673</v>
      </c>
      <c r="O65" s="52" t="s">
        <v>673</v>
      </c>
      <c r="P65" s="52" t="s">
        <v>673</v>
      </c>
      <c r="Q65" s="52" t="s">
        <v>673</v>
      </c>
      <c r="R65" s="52" t="s">
        <v>673</v>
      </c>
      <c r="S65" s="52" t="s">
        <v>673</v>
      </c>
      <c r="T65" s="52" t="s">
        <v>673</v>
      </c>
      <c r="U65" s="98" t="s">
        <v>673</v>
      </c>
      <c r="V65" s="53" t="s">
        <v>673</v>
      </c>
    </row>
    <row r="66" spans="1:22" s="26" customFormat="1" x14ac:dyDescent="0.2">
      <c r="A66" s="75" t="str">
        <f>VLOOKUP("&lt;Zeilentitel_54&gt;",Uebersetzungen!$B$3:$E$931,Uebersetzungen!$B$2+1,FALSE)</f>
        <v>H49</v>
      </c>
      <c r="B66" s="83" t="str">
        <f>VLOOKUP("&lt;Zeilentitel_54.1&gt;",Uebersetzungen!$B$3:$E$931,Uebersetzungen!$B$2+1,FALSE)</f>
        <v>Landverkehrsleistungen und Transportleistungen in Rohrfernleitungen</v>
      </c>
      <c r="C66" s="32"/>
      <c r="D66" s="46" t="s">
        <v>673</v>
      </c>
      <c r="E66" s="65" t="s">
        <v>673</v>
      </c>
      <c r="F66" s="65" t="s">
        <v>673</v>
      </c>
      <c r="G66" s="65" t="s">
        <v>673</v>
      </c>
      <c r="H66" s="65" t="s">
        <v>673</v>
      </c>
      <c r="I66" s="65" t="s">
        <v>673</v>
      </c>
      <c r="J66" s="65" t="s">
        <v>673</v>
      </c>
      <c r="K66" s="93" t="s">
        <v>673</v>
      </c>
      <c r="L66" s="66" t="s">
        <v>673</v>
      </c>
      <c r="M66" s="44"/>
      <c r="N66" s="54" t="s">
        <v>673</v>
      </c>
      <c r="O66" s="55" t="s">
        <v>673</v>
      </c>
      <c r="P66" s="55" t="s">
        <v>673</v>
      </c>
      <c r="Q66" s="55" t="s">
        <v>673</v>
      </c>
      <c r="R66" s="55" t="s">
        <v>673</v>
      </c>
      <c r="S66" s="55" t="s">
        <v>673</v>
      </c>
      <c r="T66" s="55" t="s">
        <v>673</v>
      </c>
      <c r="U66" s="99" t="s">
        <v>673</v>
      </c>
      <c r="V66" s="56" t="s">
        <v>673</v>
      </c>
    </row>
    <row r="67" spans="1:22" s="26" customFormat="1" x14ac:dyDescent="0.2">
      <c r="A67" s="75" t="str">
        <f>VLOOKUP("&lt;Zeilentitel_55&gt;",Uebersetzungen!$B$3:$E$931,Uebersetzungen!$B$2+1,FALSE)</f>
        <v>H50</v>
      </c>
      <c r="B67" s="83" t="str">
        <f>VLOOKUP("&lt;Zeilentitel_55.1&gt;",Uebersetzungen!$B$3:$E$931,Uebersetzungen!$B$2+1,FALSE)</f>
        <v>Schifffahrtsleistungen</v>
      </c>
      <c r="C67" s="32"/>
      <c r="D67" s="46" t="s">
        <v>673</v>
      </c>
      <c r="E67" s="65" t="s">
        <v>673</v>
      </c>
      <c r="F67" s="65" t="s">
        <v>673</v>
      </c>
      <c r="G67" s="65" t="s">
        <v>673</v>
      </c>
      <c r="H67" s="65" t="s">
        <v>673</v>
      </c>
      <c r="I67" s="65" t="s">
        <v>673</v>
      </c>
      <c r="J67" s="65" t="s">
        <v>673</v>
      </c>
      <c r="K67" s="93" t="s">
        <v>673</v>
      </c>
      <c r="L67" s="66" t="s">
        <v>673</v>
      </c>
      <c r="M67" s="44"/>
      <c r="N67" s="54" t="s">
        <v>673</v>
      </c>
      <c r="O67" s="55" t="s">
        <v>673</v>
      </c>
      <c r="P67" s="55" t="s">
        <v>673</v>
      </c>
      <c r="Q67" s="55" t="s">
        <v>673</v>
      </c>
      <c r="R67" s="55" t="s">
        <v>673</v>
      </c>
      <c r="S67" s="55" t="s">
        <v>673</v>
      </c>
      <c r="T67" s="55" t="s">
        <v>673</v>
      </c>
      <c r="U67" s="99" t="s">
        <v>673</v>
      </c>
      <c r="V67" s="56" t="s">
        <v>673</v>
      </c>
    </row>
    <row r="68" spans="1:22" s="26" customFormat="1" x14ac:dyDescent="0.2">
      <c r="A68" s="75" t="str">
        <f>VLOOKUP("&lt;Zeilentitel_56&gt;",Uebersetzungen!$B$3:$E$931,Uebersetzungen!$B$2+1,FALSE)</f>
        <v>H51</v>
      </c>
      <c r="B68" s="83" t="str">
        <f>VLOOKUP("&lt;Zeilentitel_56.1&gt;",Uebersetzungen!$B$3:$E$931,Uebersetzungen!$B$2+1,FALSE)</f>
        <v>Luftfahrtleistungen</v>
      </c>
      <c r="C68" s="32"/>
      <c r="D68" s="46" t="s">
        <v>673</v>
      </c>
      <c r="E68" s="65" t="s">
        <v>673</v>
      </c>
      <c r="F68" s="65" t="s">
        <v>673</v>
      </c>
      <c r="G68" s="65" t="s">
        <v>673</v>
      </c>
      <c r="H68" s="65" t="s">
        <v>673</v>
      </c>
      <c r="I68" s="65" t="s">
        <v>673</v>
      </c>
      <c r="J68" s="65" t="s">
        <v>673</v>
      </c>
      <c r="K68" s="93" t="s">
        <v>673</v>
      </c>
      <c r="L68" s="66" t="s">
        <v>673</v>
      </c>
      <c r="M68" s="44"/>
      <c r="N68" s="54" t="s">
        <v>673</v>
      </c>
      <c r="O68" s="55" t="s">
        <v>673</v>
      </c>
      <c r="P68" s="55" t="s">
        <v>673</v>
      </c>
      <c r="Q68" s="55" t="s">
        <v>673</v>
      </c>
      <c r="R68" s="55" t="s">
        <v>673</v>
      </c>
      <c r="S68" s="55" t="s">
        <v>673</v>
      </c>
      <c r="T68" s="55" t="s">
        <v>673</v>
      </c>
      <c r="U68" s="99" t="s">
        <v>673</v>
      </c>
      <c r="V68" s="56" t="s">
        <v>673</v>
      </c>
    </row>
    <row r="69" spans="1:22" s="26" customFormat="1" x14ac:dyDescent="0.2">
      <c r="A69" s="75" t="str">
        <f>VLOOKUP("&lt;Zeilentitel_57&gt;",Uebersetzungen!$B$3:$E$931,Uebersetzungen!$B$2+1,FALSE)</f>
        <v>H52</v>
      </c>
      <c r="B69" s="83" t="str">
        <f>VLOOKUP("&lt;Zeilentitel_57.1&gt;",Uebersetzungen!$B$3:$E$931,Uebersetzungen!$B$2+1,FALSE)</f>
        <v>Lagereileistungen sowie sonstige Unterstützungsdienstleistungen für den Verkehr</v>
      </c>
      <c r="C69" s="32"/>
      <c r="D69" s="46" t="s">
        <v>673</v>
      </c>
      <c r="E69" s="65" t="s">
        <v>673</v>
      </c>
      <c r="F69" s="65" t="s">
        <v>673</v>
      </c>
      <c r="G69" s="65" t="s">
        <v>673</v>
      </c>
      <c r="H69" s="65" t="s">
        <v>673</v>
      </c>
      <c r="I69" s="65" t="s">
        <v>673</v>
      </c>
      <c r="J69" s="65" t="s">
        <v>673</v>
      </c>
      <c r="K69" s="93" t="s">
        <v>673</v>
      </c>
      <c r="L69" s="66" t="s">
        <v>673</v>
      </c>
      <c r="M69" s="44"/>
      <c r="N69" s="54" t="s">
        <v>673</v>
      </c>
      <c r="O69" s="55" t="s">
        <v>673</v>
      </c>
      <c r="P69" s="55" t="s">
        <v>673</v>
      </c>
      <c r="Q69" s="55" t="s">
        <v>673</v>
      </c>
      <c r="R69" s="55" t="s">
        <v>673</v>
      </c>
      <c r="S69" s="55" t="s">
        <v>673</v>
      </c>
      <c r="T69" s="55" t="s">
        <v>673</v>
      </c>
      <c r="U69" s="99" t="s">
        <v>673</v>
      </c>
      <c r="V69" s="56" t="s">
        <v>673</v>
      </c>
    </row>
    <row r="70" spans="1:22" s="26" customFormat="1" x14ac:dyDescent="0.2">
      <c r="A70" s="75" t="str">
        <f>VLOOKUP("&lt;Zeilentitel_58&gt;",Uebersetzungen!$B$3:$E$931,Uebersetzungen!$B$2+1,FALSE)</f>
        <v>H53</v>
      </c>
      <c r="B70" s="83" t="str">
        <f>VLOOKUP("&lt;Zeilentitel_58.1&gt;",Uebersetzungen!$B$3:$E$931,Uebersetzungen!$B$2+1,FALSE)</f>
        <v>Postdienstleistungen und Dienstleistungen privater Kurier- und Expressdienste</v>
      </c>
      <c r="C70" s="32"/>
      <c r="D70" s="46" t="s">
        <v>673</v>
      </c>
      <c r="E70" s="65" t="s">
        <v>673</v>
      </c>
      <c r="F70" s="65" t="s">
        <v>673</v>
      </c>
      <c r="G70" s="65" t="s">
        <v>673</v>
      </c>
      <c r="H70" s="65" t="s">
        <v>673</v>
      </c>
      <c r="I70" s="65" t="s">
        <v>673</v>
      </c>
      <c r="J70" s="65" t="s">
        <v>673</v>
      </c>
      <c r="K70" s="93" t="s">
        <v>673</v>
      </c>
      <c r="L70" s="66" t="s">
        <v>673</v>
      </c>
      <c r="M70" s="44"/>
      <c r="N70" s="54" t="s">
        <v>673</v>
      </c>
      <c r="O70" s="55" t="s">
        <v>673</v>
      </c>
      <c r="P70" s="55" t="s">
        <v>673</v>
      </c>
      <c r="Q70" s="55" t="s">
        <v>673</v>
      </c>
      <c r="R70" s="55" t="s">
        <v>673</v>
      </c>
      <c r="S70" s="55" t="s">
        <v>673</v>
      </c>
      <c r="T70" s="55" t="s">
        <v>673</v>
      </c>
      <c r="U70" s="99" t="s">
        <v>673</v>
      </c>
      <c r="V70" s="56" t="s">
        <v>673</v>
      </c>
    </row>
    <row r="71" spans="1:22" s="26" customFormat="1" x14ac:dyDescent="0.2">
      <c r="A71" s="77" t="str">
        <f>VLOOKUP("&lt;Zeilentitel_59&gt;",Uebersetzungen!$B$3:$E$931,Uebersetzungen!$B$2+1,FALSE)</f>
        <v>I</v>
      </c>
      <c r="B71" s="84" t="str">
        <f>VLOOKUP("&lt;Zeilentitel_59.1&gt;",Uebersetzungen!$B$3:$E$931,Uebersetzungen!$B$2+1,FALSE)</f>
        <v>BEHERBERGUNGS- UND GASTRONOMIEDIENSTLEISTUNGEN</v>
      </c>
      <c r="C71" s="32"/>
      <c r="D71" s="45" t="s">
        <v>673</v>
      </c>
      <c r="E71" s="63" t="s">
        <v>673</v>
      </c>
      <c r="F71" s="63" t="s">
        <v>673</v>
      </c>
      <c r="G71" s="63" t="s">
        <v>673</v>
      </c>
      <c r="H71" s="63" t="s">
        <v>673</v>
      </c>
      <c r="I71" s="63" t="s">
        <v>673</v>
      </c>
      <c r="J71" s="63" t="s">
        <v>673</v>
      </c>
      <c r="K71" s="92" t="s">
        <v>673</v>
      </c>
      <c r="L71" s="64" t="s">
        <v>673</v>
      </c>
      <c r="M71" s="43"/>
      <c r="N71" s="51" t="s">
        <v>673</v>
      </c>
      <c r="O71" s="52" t="s">
        <v>673</v>
      </c>
      <c r="P71" s="52" t="s">
        <v>673</v>
      </c>
      <c r="Q71" s="52" t="s">
        <v>673</v>
      </c>
      <c r="R71" s="52" t="s">
        <v>673</v>
      </c>
      <c r="S71" s="52" t="s">
        <v>673</v>
      </c>
      <c r="T71" s="52" t="s">
        <v>673</v>
      </c>
      <c r="U71" s="98" t="s">
        <v>673</v>
      </c>
      <c r="V71" s="53" t="s">
        <v>673</v>
      </c>
    </row>
    <row r="72" spans="1:22" s="26" customFormat="1" x14ac:dyDescent="0.2">
      <c r="A72" s="75" t="str">
        <f>VLOOKUP("&lt;Zeilentitel_60&gt;",Uebersetzungen!$B$3:$E$931,Uebersetzungen!$B$2+1,FALSE)</f>
        <v>I55</v>
      </c>
      <c r="B72" s="83" t="str">
        <f>VLOOKUP("&lt;Zeilentitel_60.1&gt;",Uebersetzungen!$B$3:$E$931,Uebersetzungen!$B$2+1,FALSE)</f>
        <v>Beherbergungsdienstleistungen</v>
      </c>
      <c r="C72" s="32"/>
      <c r="D72" s="46" t="s">
        <v>673</v>
      </c>
      <c r="E72" s="65" t="s">
        <v>673</v>
      </c>
      <c r="F72" s="65" t="s">
        <v>673</v>
      </c>
      <c r="G72" s="65" t="s">
        <v>673</v>
      </c>
      <c r="H72" s="65" t="s">
        <v>673</v>
      </c>
      <c r="I72" s="65" t="s">
        <v>673</v>
      </c>
      <c r="J72" s="65" t="s">
        <v>673</v>
      </c>
      <c r="K72" s="93" t="s">
        <v>673</v>
      </c>
      <c r="L72" s="66" t="s">
        <v>673</v>
      </c>
      <c r="M72" s="44"/>
      <c r="N72" s="54" t="s">
        <v>673</v>
      </c>
      <c r="O72" s="55" t="s">
        <v>673</v>
      </c>
      <c r="P72" s="55" t="s">
        <v>673</v>
      </c>
      <c r="Q72" s="55" t="s">
        <v>673</v>
      </c>
      <c r="R72" s="55" t="s">
        <v>673</v>
      </c>
      <c r="S72" s="55" t="s">
        <v>673</v>
      </c>
      <c r="T72" s="55" t="s">
        <v>673</v>
      </c>
      <c r="U72" s="99" t="s">
        <v>673</v>
      </c>
      <c r="V72" s="56" t="s">
        <v>673</v>
      </c>
    </row>
    <row r="73" spans="1:22" s="26" customFormat="1" x14ac:dyDescent="0.2">
      <c r="A73" s="75" t="str">
        <f>VLOOKUP("&lt;Zeilentitel_61&gt;",Uebersetzungen!$B$3:$E$931,Uebersetzungen!$B$2+1,FALSE)</f>
        <v>I56</v>
      </c>
      <c r="B73" s="83" t="str">
        <f>VLOOKUP("&lt;Zeilentitel_61.1&gt;",Uebersetzungen!$B$3:$E$931,Uebersetzungen!$B$2+1,FALSE)</f>
        <v>Gastronomiedienstleistungen</v>
      </c>
      <c r="C73" s="32"/>
      <c r="D73" s="46" t="s">
        <v>673</v>
      </c>
      <c r="E73" s="65" t="s">
        <v>673</v>
      </c>
      <c r="F73" s="65" t="s">
        <v>673</v>
      </c>
      <c r="G73" s="65" t="s">
        <v>673</v>
      </c>
      <c r="H73" s="65" t="s">
        <v>673</v>
      </c>
      <c r="I73" s="65" t="s">
        <v>673</v>
      </c>
      <c r="J73" s="65" t="s">
        <v>673</v>
      </c>
      <c r="K73" s="93" t="s">
        <v>673</v>
      </c>
      <c r="L73" s="66" t="s">
        <v>673</v>
      </c>
      <c r="M73" s="44"/>
      <c r="N73" s="54" t="s">
        <v>673</v>
      </c>
      <c r="O73" s="55" t="s">
        <v>673</v>
      </c>
      <c r="P73" s="55" t="s">
        <v>673</v>
      </c>
      <c r="Q73" s="55" t="s">
        <v>673</v>
      </c>
      <c r="R73" s="55" t="s">
        <v>673</v>
      </c>
      <c r="S73" s="55" t="s">
        <v>673</v>
      </c>
      <c r="T73" s="55" t="s">
        <v>673</v>
      </c>
      <c r="U73" s="99" t="s">
        <v>673</v>
      </c>
      <c r="V73" s="56" t="s">
        <v>673</v>
      </c>
    </row>
    <row r="74" spans="1:22" s="26" customFormat="1" x14ac:dyDescent="0.2">
      <c r="A74" s="77" t="str">
        <f>VLOOKUP("&lt;Zeilentitel_62&gt;",Uebersetzungen!$B$3:$E$931,Uebersetzungen!$B$2+1,FALSE)</f>
        <v>J</v>
      </c>
      <c r="B74" s="84" t="str">
        <f>VLOOKUP("&lt;Zeilentitel_62.1&gt;",Uebersetzungen!$B$3:$E$931,Uebersetzungen!$B$2+1,FALSE)</f>
        <v>INFORMATIONS- UND KOMMUNIKATIONSDIENSTLEISTUNGEN</v>
      </c>
      <c r="C74" s="32"/>
      <c r="D74" s="45">
        <v>2671.0091810753001</v>
      </c>
      <c r="E74" s="63">
        <v>2060.9511265600399</v>
      </c>
      <c r="F74" s="63">
        <v>1589.56815605717</v>
      </c>
      <c r="G74" s="63">
        <v>1774.6094619497001</v>
      </c>
      <c r="H74" s="63">
        <v>1898.8025724329302</v>
      </c>
      <c r="I74" s="63">
        <v>2904.20709232938</v>
      </c>
      <c r="J74" s="63">
        <v>1970.48890890243</v>
      </c>
      <c r="K74" s="92">
        <v>1044.1977275029999</v>
      </c>
      <c r="L74" s="64">
        <v>684.92024406436008</v>
      </c>
      <c r="M74" s="43"/>
      <c r="N74" s="51" t="s">
        <v>673</v>
      </c>
      <c r="O74" s="52">
        <v>-22.839983435387101</v>
      </c>
      <c r="P74" s="52">
        <v>-22.872108145992499</v>
      </c>
      <c r="Q74" s="52">
        <v>11.6409796703217</v>
      </c>
      <c r="R74" s="52">
        <v>6.9983347404664498</v>
      </c>
      <c r="S74" s="52">
        <v>52.949397398816302</v>
      </c>
      <c r="T74" s="52">
        <v>-32.1505372634442</v>
      </c>
      <c r="U74" s="98">
        <v>-47.008190567049503</v>
      </c>
      <c r="V74" s="53">
        <v>-34.407035561912899</v>
      </c>
    </row>
    <row r="75" spans="1:22" s="26" customFormat="1" x14ac:dyDescent="0.2">
      <c r="A75" s="75" t="str">
        <f>VLOOKUP("&lt;Zeilentitel_63&gt;",Uebersetzungen!$B$3:$E$931,Uebersetzungen!$B$2+1,FALSE)</f>
        <v>J58</v>
      </c>
      <c r="B75" s="83" t="str">
        <f>VLOOKUP("&lt;Zeilentitel_63.1&gt;",Uebersetzungen!$B$3:$E$931,Uebersetzungen!$B$2+1,FALSE)</f>
        <v>Dienstleistungen des Verlagswesens</v>
      </c>
      <c r="C75" s="32"/>
      <c r="D75" s="46">
        <v>2547.6932507205897</v>
      </c>
      <c r="E75" s="65">
        <v>1431.17017837193</v>
      </c>
      <c r="F75" s="65">
        <v>806.400710199934</v>
      </c>
      <c r="G75" s="65">
        <v>1280.3135067047199</v>
      </c>
      <c r="H75" s="65">
        <v>1214.82497034779</v>
      </c>
      <c r="I75" s="65">
        <v>2343.8061892253399</v>
      </c>
      <c r="J75" s="65">
        <v>1747.31642299448</v>
      </c>
      <c r="K75" s="93">
        <v>885.99990266396594</v>
      </c>
      <c r="L75" s="66">
        <v>524.8167901214689</v>
      </c>
      <c r="M75" s="44"/>
      <c r="N75" s="54" t="s">
        <v>673</v>
      </c>
      <c r="O75" s="55">
        <v>-43.824862825729298</v>
      </c>
      <c r="P75" s="55">
        <v>-43.654449877003501</v>
      </c>
      <c r="Q75" s="55">
        <v>58.768896221245903</v>
      </c>
      <c r="R75" s="55">
        <v>-5.11503909112787</v>
      </c>
      <c r="S75" s="55">
        <v>92.933652701783402</v>
      </c>
      <c r="T75" s="55">
        <v>-25.4496198948946</v>
      </c>
      <c r="U75" s="99">
        <v>-49.293677378389397</v>
      </c>
      <c r="V75" s="56">
        <v>-40.765592801592398</v>
      </c>
    </row>
    <row r="76" spans="1:22" s="26" customFormat="1" ht="28.5" x14ac:dyDescent="0.2">
      <c r="A76" s="75" t="str">
        <f>VLOOKUP("&lt;Zeilentitel_64&gt;",Uebersetzungen!$B$3:$E$931,Uebersetzungen!$B$2+1,FALSE)</f>
        <v>J59</v>
      </c>
      <c r="B76" s="83" t="str">
        <f>VLOOKUP("&lt;Zeilentitel_64.1&gt;",Uebersetzungen!$B$3:$E$931,Uebersetzungen!$B$2+1,FALSE)</f>
        <v>Dienstleistungen der Herstellung, des Verleihs und Vertriebs von Filmen und Fernsehprogrammen, von Kinos und Tonstudios; Verlagsleistungen bezüglich Musik</v>
      </c>
      <c r="C76" s="32"/>
      <c r="D76" s="46">
        <v>123.315930354717</v>
      </c>
      <c r="E76" s="65">
        <v>629.78094818809802</v>
      </c>
      <c r="F76" s="65">
        <v>783.16744585723802</v>
      </c>
      <c r="G76" s="65">
        <v>494.295955244975</v>
      </c>
      <c r="H76" s="65">
        <v>683.97760208514103</v>
      </c>
      <c r="I76" s="65">
        <v>560.40090310404298</v>
      </c>
      <c r="J76" s="65">
        <v>223.17248590795799</v>
      </c>
      <c r="K76" s="93">
        <v>158.19782483903799</v>
      </c>
      <c r="L76" s="66">
        <v>160.10345394289101</v>
      </c>
      <c r="M76" s="44"/>
      <c r="N76" s="54" t="s">
        <v>673</v>
      </c>
      <c r="O76" s="55">
        <v>410.70526441842298</v>
      </c>
      <c r="P76" s="55">
        <v>24.355531571801102</v>
      </c>
      <c r="Q76" s="55">
        <v>-36.8850227547534</v>
      </c>
      <c r="R76" s="55">
        <v>38.374104588041597</v>
      </c>
      <c r="S76" s="55">
        <v>-18.0673604814497</v>
      </c>
      <c r="T76" s="55">
        <v>-60.176280110932602</v>
      </c>
      <c r="U76" s="99">
        <v>-29.114100156466801</v>
      </c>
      <c r="V76" s="56">
        <v>1.20458616026591</v>
      </c>
    </row>
    <row r="77" spans="1:22" s="26" customFormat="1" x14ac:dyDescent="0.2">
      <c r="A77" s="75" t="str">
        <f>VLOOKUP("&lt;Zeilentitel_65&gt;",Uebersetzungen!$B$3:$E$931,Uebersetzungen!$B$2+1,FALSE)</f>
        <v>J60</v>
      </c>
      <c r="B77" s="83" t="str">
        <f>VLOOKUP("&lt;Zeilentitel_65.1&gt;",Uebersetzungen!$B$3:$E$931,Uebersetzungen!$B$2+1,FALSE)</f>
        <v>Rundfunkveranstaltungsleistungen</v>
      </c>
      <c r="C77" s="32"/>
      <c r="D77" s="46" t="s">
        <v>673</v>
      </c>
      <c r="E77" s="65" t="s">
        <v>673</v>
      </c>
      <c r="F77" s="65" t="s">
        <v>673</v>
      </c>
      <c r="G77" s="65" t="s">
        <v>673</v>
      </c>
      <c r="H77" s="65" t="s">
        <v>673</v>
      </c>
      <c r="I77" s="65" t="s">
        <v>673</v>
      </c>
      <c r="J77" s="65" t="s">
        <v>673</v>
      </c>
      <c r="K77" s="93" t="s">
        <v>673</v>
      </c>
      <c r="L77" s="66" t="s">
        <v>673</v>
      </c>
      <c r="M77" s="44"/>
      <c r="N77" s="54" t="s">
        <v>673</v>
      </c>
      <c r="O77" s="55" t="s">
        <v>673</v>
      </c>
      <c r="P77" s="55" t="s">
        <v>673</v>
      </c>
      <c r="Q77" s="55" t="s">
        <v>673</v>
      </c>
      <c r="R77" s="55" t="s">
        <v>673</v>
      </c>
      <c r="S77" s="55" t="s">
        <v>673</v>
      </c>
      <c r="T77" s="55" t="s">
        <v>673</v>
      </c>
      <c r="U77" s="99" t="s">
        <v>673</v>
      </c>
      <c r="V77" s="56" t="s">
        <v>673</v>
      </c>
    </row>
    <row r="78" spans="1:22" s="26" customFormat="1" x14ac:dyDescent="0.2">
      <c r="A78" s="75" t="str">
        <f>VLOOKUP("&lt;Zeilentitel_66&gt;",Uebersetzungen!$B$3:$E$931,Uebersetzungen!$B$2+1,FALSE)</f>
        <v>J61</v>
      </c>
      <c r="B78" s="83" t="str">
        <f>VLOOKUP("&lt;Zeilentitel_66.1&gt;",Uebersetzungen!$B$3:$E$931,Uebersetzungen!$B$2+1,FALSE)</f>
        <v>Telekommunikationsdienstleistungen</v>
      </c>
      <c r="C78" s="32"/>
      <c r="D78" s="46" t="s">
        <v>673</v>
      </c>
      <c r="E78" s="65" t="s">
        <v>673</v>
      </c>
      <c r="F78" s="65" t="s">
        <v>673</v>
      </c>
      <c r="G78" s="65" t="s">
        <v>673</v>
      </c>
      <c r="H78" s="65" t="s">
        <v>673</v>
      </c>
      <c r="I78" s="65" t="s">
        <v>673</v>
      </c>
      <c r="J78" s="65" t="s">
        <v>673</v>
      </c>
      <c r="K78" s="93" t="s">
        <v>673</v>
      </c>
      <c r="L78" s="66" t="s">
        <v>673</v>
      </c>
      <c r="M78" s="44"/>
      <c r="N78" s="54" t="s">
        <v>673</v>
      </c>
      <c r="O78" s="55" t="s">
        <v>673</v>
      </c>
      <c r="P78" s="55" t="s">
        <v>673</v>
      </c>
      <c r="Q78" s="55" t="s">
        <v>673</v>
      </c>
      <c r="R78" s="55" t="s">
        <v>673</v>
      </c>
      <c r="S78" s="55" t="s">
        <v>673</v>
      </c>
      <c r="T78" s="55" t="s">
        <v>673</v>
      </c>
      <c r="U78" s="99" t="s">
        <v>673</v>
      </c>
      <c r="V78" s="56" t="s">
        <v>673</v>
      </c>
    </row>
    <row r="79" spans="1:22" s="26" customFormat="1" x14ac:dyDescent="0.2">
      <c r="A79" s="75" t="str">
        <f>VLOOKUP("&lt;Zeilentitel_67&gt;",Uebersetzungen!$B$3:$E$931,Uebersetzungen!$B$2+1,FALSE)</f>
        <v>J62</v>
      </c>
      <c r="B79" s="83" t="str">
        <f>VLOOKUP("&lt;Zeilentitel_67.1&gt;",Uebersetzungen!$B$3:$E$931,Uebersetzungen!$B$2+1,FALSE)</f>
        <v>Dienstleistungen der EDV-Programmierung und -Beratung und damit verbundene Dienstleistungen</v>
      </c>
      <c r="C79" s="32"/>
      <c r="D79" s="46" t="s">
        <v>673</v>
      </c>
      <c r="E79" s="65" t="s">
        <v>673</v>
      </c>
      <c r="F79" s="65" t="s">
        <v>673</v>
      </c>
      <c r="G79" s="65" t="s">
        <v>673</v>
      </c>
      <c r="H79" s="65" t="s">
        <v>673</v>
      </c>
      <c r="I79" s="65" t="s">
        <v>673</v>
      </c>
      <c r="J79" s="65" t="s">
        <v>673</v>
      </c>
      <c r="K79" s="93" t="s">
        <v>673</v>
      </c>
      <c r="L79" s="66" t="s">
        <v>673</v>
      </c>
      <c r="M79" s="44"/>
      <c r="N79" s="54" t="s">
        <v>673</v>
      </c>
      <c r="O79" s="55" t="s">
        <v>673</v>
      </c>
      <c r="P79" s="55" t="s">
        <v>673</v>
      </c>
      <c r="Q79" s="55" t="s">
        <v>673</v>
      </c>
      <c r="R79" s="55" t="s">
        <v>673</v>
      </c>
      <c r="S79" s="55" t="s">
        <v>673</v>
      </c>
      <c r="T79" s="55" t="s">
        <v>673</v>
      </c>
      <c r="U79" s="99" t="s">
        <v>673</v>
      </c>
      <c r="V79" s="56" t="s">
        <v>673</v>
      </c>
    </row>
    <row r="80" spans="1:22" s="26" customFormat="1" x14ac:dyDescent="0.2">
      <c r="A80" s="75" t="str">
        <f>VLOOKUP("&lt;Zeilentitel_68&gt;",Uebersetzungen!$B$3:$E$931,Uebersetzungen!$B$2+1,FALSE)</f>
        <v>J63</v>
      </c>
      <c r="B80" s="83" t="str">
        <f>VLOOKUP("&lt;Zeilentitel_68.1&gt;",Uebersetzungen!$B$3:$E$931,Uebersetzungen!$B$2+1,FALSE)</f>
        <v>Informationsdienstleistungen</v>
      </c>
      <c r="C80" s="32"/>
      <c r="D80" s="46" t="s">
        <v>673</v>
      </c>
      <c r="E80" s="65" t="s">
        <v>673</v>
      </c>
      <c r="F80" s="65" t="s">
        <v>673</v>
      </c>
      <c r="G80" s="65" t="s">
        <v>673</v>
      </c>
      <c r="H80" s="65" t="s">
        <v>673</v>
      </c>
      <c r="I80" s="65" t="s">
        <v>673</v>
      </c>
      <c r="J80" s="65" t="s">
        <v>673</v>
      </c>
      <c r="K80" s="93" t="s">
        <v>673</v>
      </c>
      <c r="L80" s="66" t="s">
        <v>673</v>
      </c>
      <c r="M80" s="44"/>
      <c r="N80" s="54" t="s">
        <v>673</v>
      </c>
      <c r="O80" s="55" t="s">
        <v>673</v>
      </c>
      <c r="P80" s="55" t="s">
        <v>673</v>
      </c>
      <c r="Q80" s="55" t="s">
        <v>673</v>
      </c>
      <c r="R80" s="55" t="s">
        <v>673</v>
      </c>
      <c r="S80" s="55" t="s">
        <v>673</v>
      </c>
      <c r="T80" s="55" t="s">
        <v>673</v>
      </c>
      <c r="U80" s="99" t="s">
        <v>673</v>
      </c>
      <c r="V80" s="56" t="s">
        <v>673</v>
      </c>
    </row>
    <row r="81" spans="1:22" s="26" customFormat="1" x14ac:dyDescent="0.2">
      <c r="A81" s="77" t="str">
        <f>VLOOKUP("&lt;Zeilentitel_69&gt;",Uebersetzungen!$B$3:$E$931,Uebersetzungen!$B$2+1,FALSE)</f>
        <v>K</v>
      </c>
      <c r="B81" s="84" t="str">
        <f>VLOOKUP("&lt;Zeilentitel_69.1&gt;",Uebersetzungen!$B$3:$E$931,Uebersetzungen!$B$2+1,FALSE)</f>
        <v>FINANZ- UND VERSICHERUNGSDIENSTLEISTUNGEN</v>
      </c>
      <c r="C81" s="32"/>
      <c r="D81" s="45" t="s">
        <v>673</v>
      </c>
      <c r="E81" s="63" t="s">
        <v>673</v>
      </c>
      <c r="F81" s="63" t="s">
        <v>673</v>
      </c>
      <c r="G81" s="63" t="s">
        <v>673</v>
      </c>
      <c r="H81" s="63" t="s">
        <v>673</v>
      </c>
      <c r="I81" s="63" t="s">
        <v>673</v>
      </c>
      <c r="J81" s="63" t="s">
        <v>673</v>
      </c>
      <c r="K81" s="92" t="s">
        <v>673</v>
      </c>
      <c r="L81" s="64" t="s">
        <v>673</v>
      </c>
      <c r="M81" s="43"/>
      <c r="N81" s="51" t="s">
        <v>673</v>
      </c>
      <c r="O81" s="52" t="s">
        <v>673</v>
      </c>
      <c r="P81" s="52" t="s">
        <v>673</v>
      </c>
      <c r="Q81" s="52" t="s">
        <v>673</v>
      </c>
      <c r="R81" s="52" t="s">
        <v>673</v>
      </c>
      <c r="S81" s="52" t="s">
        <v>673</v>
      </c>
      <c r="T81" s="52" t="s">
        <v>673</v>
      </c>
      <c r="U81" s="98" t="s">
        <v>673</v>
      </c>
      <c r="V81" s="53" t="s">
        <v>673</v>
      </c>
    </row>
    <row r="82" spans="1:22" s="26" customFormat="1" x14ac:dyDescent="0.2">
      <c r="A82" s="75" t="str">
        <f>VLOOKUP("&lt;Zeilentitel_70&gt;",Uebersetzungen!$B$3:$E$931,Uebersetzungen!$B$2+1,FALSE)</f>
        <v>K64</v>
      </c>
      <c r="B82" s="83" t="str">
        <f>VLOOKUP("&lt;Zeilentitel_70.1&gt;",Uebersetzungen!$B$3:$E$931,Uebersetzungen!$B$2+1,FALSE)</f>
        <v>Finanzdienstleistungen, außer Versicherungen und Pensionen</v>
      </c>
      <c r="C82" s="32"/>
      <c r="D82" s="46" t="s">
        <v>673</v>
      </c>
      <c r="E82" s="65" t="s">
        <v>673</v>
      </c>
      <c r="F82" s="65" t="s">
        <v>673</v>
      </c>
      <c r="G82" s="65" t="s">
        <v>673</v>
      </c>
      <c r="H82" s="65" t="s">
        <v>673</v>
      </c>
      <c r="I82" s="65" t="s">
        <v>673</v>
      </c>
      <c r="J82" s="65" t="s">
        <v>673</v>
      </c>
      <c r="K82" s="93" t="s">
        <v>673</v>
      </c>
      <c r="L82" s="66" t="s">
        <v>673</v>
      </c>
      <c r="M82" s="44"/>
      <c r="N82" s="54" t="s">
        <v>673</v>
      </c>
      <c r="O82" s="55" t="s">
        <v>673</v>
      </c>
      <c r="P82" s="55" t="s">
        <v>673</v>
      </c>
      <c r="Q82" s="55" t="s">
        <v>673</v>
      </c>
      <c r="R82" s="55" t="s">
        <v>673</v>
      </c>
      <c r="S82" s="55" t="s">
        <v>673</v>
      </c>
      <c r="T82" s="55" t="s">
        <v>673</v>
      </c>
      <c r="U82" s="99" t="s">
        <v>673</v>
      </c>
      <c r="V82" s="56" t="s">
        <v>673</v>
      </c>
    </row>
    <row r="83" spans="1:22" s="26" customFormat="1" x14ac:dyDescent="0.2">
      <c r="A83" s="75" t="str">
        <f>VLOOKUP("&lt;Zeilentitel_71&gt;",Uebersetzungen!$B$3:$E$931,Uebersetzungen!$B$2+1,FALSE)</f>
        <v>K65</v>
      </c>
      <c r="B83" s="83" t="str">
        <f>VLOOKUP("&lt;Zeilentitel_71.1&gt;",Uebersetzungen!$B$3:$E$931,Uebersetzungen!$B$2+1,FALSE)</f>
        <v>Dienstleistungen von Versicherungen, Rückversicherungen und Pensionskassen (ohne Sozialversicherung)</v>
      </c>
      <c r="C83" s="32"/>
      <c r="D83" s="46" t="s">
        <v>673</v>
      </c>
      <c r="E83" s="65" t="s">
        <v>673</v>
      </c>
      <c r="F83" s="65" t="s">
        <v>673</v>
      </c>
      <c r="G83" s="65" t="s">
        <v>673</v>
      </c>
      <c r="H83" s="65" t="s">
        <v>673</v>
      </c>
      <c r="I83" s="65" t="s">
        <v>673</v>
      </c>
      <c r="J83" s="65" t="s">
        <v>673</v>
      </c>
      <c r="K83" s="93" t="s">
        <v>673</v>
      </c>
      <c r="L83" s="66" t="s">
        <v>673</v>
      </c>
      <c r="M83" s="44"/>
      <c r="N83" s="54" t="s">
        <v>673</v>
      </c>
      <c r="O83" s="55" t="s">
        <v>673</v>
      </c>
      <c r="P83" s="55" t="s">
        <v>673</v>
      </c>
      <c r="Q83" s="55" t="s">
        <v>673</v>
      </c>
      <c r="R83" s="55" t="s">
        <v>673</v>
      </c>
      <c r="S83" s="55" t="s">
        <v>673</v>
      </c>
      <c r="T83" s="55" t="s">
        <v>673</v>
      </c>
      <c r="U83" s="99" t="s">
        <v>673</v>
      </c>
      <c r="V83" s="56" t="s">
        <v>673</v>
      </c>
    </row>
    <row r="84" spans="1:22" s="26" customFormat="1" x14ac:dyDescent="0.2">
      <c r="A84" s="75" t="str">
        <f>VLOOKUP("&lt;Zeilentitel_72&gt;",Uebersetzungen!$B$3:$E$931,Uebersetzungen!$B$2+1,FALSE)</f>
        <v>K66</v>
      </c>
      <c r="B84" s="83" t="str">
        <f>VLOOKUP("&lt;Zeilentitel_72.1&gt;",Uebersetzungen!$B$3:$E$931,Uebersetzungen!$B$2+1,FALSE)</f>
        <v>Mit den Finanz- und Versicherungsdienstleistungen verbundene Dienstleistungen</v>
      </c>
      <c r="C84" s="32"/>
      <c r="D84" s="46" t="s">
        <v>673</v>
      </c>
      <c r="E84" s="65" t="s">
        <v>673</v>
      </c>
      <c r="F84" s="65" t="s">
        <v>673</v>
      </c>
      <c r="G84" s="65" t="s">
        <v>673</v>
      </c>
      <c r="H84" s="65" t="s">
        <v>673</v>
      </c>
      <c r="I84" s="65" t="s">
        <v>673</v>
      </c>
      <c r="J84" s="65" t="s">
        <v>673</v>
      </c>
      <c r="K84" s="93" t="s">
        <v>673</v>
      </c>
      <c r="L84" s="66" t="s">
        <v>673</v>
      </c>
      <c r="M84" s="44"/>
      <c r="N84" s="54" t="s">
        <v>673</v>
      </c>
      <c r="O84" s="55" t="s">
        <v>673</v>
      </c>
      <c r="P84" s="55" t="s">
        <v>673</v>
      </c>
      <c r="Q84" s="55" t="s">
        <v>673</v>
      </c>
      <c r="R84" s="55" t="s">
        <v>673</v>
      </c>
      <c r="S84" s="55" t="s">
        <v>673</v>
      </c>
      <c r="T84" s="55" t="s">
        <v>673</v>
      </c>
      <c r="U84" s="99" t="s">
        <v>673</v>
      </c>
      <c r="V84" s="56" t="s">
        <v>673</v>
      </c>
    </row>
    <row r="85" spans="1:22" s="26" customFormat="1" x14ac:dyDescent="0.2">
      <c r="A85" s="77" t="str">
        <f>VLOOKUP("&lt;Zeilentitel_73&gt;",Uebersetzungen!$B$3:$E$931,Uebersetzungen!$B$2+1,FALSE)</f>
        <v>L</v>
      </c>
      <c r="B85" s="84" t="str">
        <f>VLOOKUP("&lt;Zeilentitel_73.1&gt;",Uebersetzungen!$B$3:$E$931,Uebersetzungen!$B$2+1,FALSE)</f>
        <v>DIENSTLEISTUNGEN DES GRUNDSTÜCKS- UND WOHNUNGSWESENS</v>
      </c>
      <c r="C85" s="32"/>
      <c r="D85" s="45" t="s">
        <v>673</v>
      </c>
      <c r="E85" s="63" t="s">
        <v>673</v>
      </c>
      <c r="F85" s="63" t="s">
        <v>673</v>
      </c>
      <c r="G85" s="63" t="s">
        <v>673</v>
      </c>
      <c r="H85" s="63" t="s">
        <v>673</v>
      </c>
      <c r="I85" s="63" t="s">
        <v>673</v>
      </c>
      <c r="J85" s="63" t="s">
        <v>673</v>
      </c>
      <c r="K85" s="92" t="s">
        <v>673</v>
      </c>
      <c r="L85" s="64" t="s">
        <v>673</v>
      </c>
      <c r="M85" s="43"/>
      <c r="N85" s="51" t="s">
        <v>673</v>
      </c>
      <c r="O85" s="52" t="s">
        <v>673</v>
      </c>
      <c r="P85" s="52" t="s">
        <v>673</v>
      </c>
      <c r="Q85" s="52" t="s">
        <v>673</v>
      </c>
      <c r="R85" s="52" t="s">
        <v>673</v>
      </c>
      <c r="S85" s="52" t="s">
        <v>673</v>
      </c>
      <c r="T85" s="52" t="s">
        <v>673</v>
      </c>
      <c r="U85" s="98" t="s">
        <v>673</v>
      </c>
      <c r="V85" s="53" t="s">
        <v>673</v>
      </c>
    </row>
    <row r="86" spans="1:22" s="26" customFormat="1" x14ac:dyDescent="0.2">
      <c r="A86" s="75" t="str">
        <f>VLOOKUP("&lt;Zeilentitel_74&gt;",Uebersetzungen!$B$3:$E$931,Uebersetzungen!$B$2+1,FALSE)</f>
        <v>L68</v>
      </c>
      <c r="B86" s="83" t="str">
        <f>VLOOKUP("&lt;Zeilentitel_74.1&gt;",Uebersetzungen!$B$3:$E$931,Uebersetzungen!$B$2+1,FALSE)</f>
        <v>Dienstleistungen des Grundstücks- und Wohnungswesens</v>
      </c>
      <c r="C86" s="32"/>
      <c r="D86" s="46" t="s">
        <v>673</v>
      </c>
      <c r="E86" s="65" t="s">
        <v>673</v>
      </c>
      <c r="F86" s="65" t="s">
        <v>673</v>
      </c>
      <c r="G86" s="65" t="s">
        <v>673</v>
      </c>
      <c r="H86" s="65" t="s">
        <v>673</v>
      </c>
      <c r="I86" s="65" t="s">
        <v>673</v>
      </c>
      <c r="J86" s="65" t="s">
        <v>673</v>
      </c>
      <c r="K86" s="93" t="s">
        <v>673</v>
      </c>
      <c r="L86" s="66" t="s">
        <v>673</v>
      </c>
      <c r="M86" s="44"/>
      <c r="N86" s="54" t="s">
        <v>673</v>
      </c>
      <c r="O86" s="55" t="s">
        <v>673</v>
      </c>
      <c r="P86" s="55" t="s">
        <v>673</v>
      </c>
      <c r="Q86" s="55" t="s">
        <v>673</v>
      </c>
      <c r="R86" s="55" t="s">
        <v>673</v>
      </c>
      <c r="S86" s="55" t="s">
        <v>673</v>
      </c>
      <c r="T86" s="55" t="s">
        <v>673</v>
      </c>
      <c r="U86" s="99" t="s">
        <v>673</v>
      </c>
      <c r="V86" s="56" t="s">
        <v>673</v>
      </c>
    </row>
    <row r="87" spans="1:22" s="26" customFormat="1" x14ac:dyDescent="0.2">
      <c r="A87" s="77" t="str">
        <f>VLOOKUP("&lt;Zeilentitel_75&gt;",Uebersetzungen!$B$3:$E$931,Uebersetzungen!$B$2+1,FALSE)</f>
        <v>M</v>
      </c>
      <c r="B87" s="84" t="str">
        <f>VLOOKUP("&lt;Zeilentitel_75.1&gt;",Uebersetzungen!$B$3:$E$931,Uebersetzungen!$B$2+1,FALSE)</f>
        <v>FREIBERUFLICHE, WISSENSCHAFTLICHE UND TECHNISCHE DIENSTLEISTUNGEN</v>
      </c>
      <c r="C87" s="32"/>
      <c r="D87" s="45">
        <v>3.2449658959815102E-3</v>
      </c>
      <c r="E87" s="63">
        <v>9.2180466564907304E-2</v>
      </c>
      <c r="F87" s="63">
        <v>1.5948387631225199E-4</v>
      </c>
      <c r="G87" s="63">
        <v>3.25</v>
      </c>
      <c r="H87" s="63">
        <v>1.2468068095395999E-2</v>
      </c>
      <c r="I87" s="63">
        <v>4.14086197707767E-2</v>
      </c>
      <c r="J87" s="63">
        <v>1.35760883690708</v>
      </c>
      <c r="K87" s="92">
        <v>2.39764135575804</v>
      </c>
      <c r="L87" s="64">
        <v>6.8702873072000001E-2</v>
      </c>
      <c r="M87" s="43"/>
      <c r="N87" s="51" t="s">
        <v>673</v>
      </c>
      <c r="O87" s="52" t="s">
        <v>674</v>
      </c>
      <c r="P87" s="52">
        <v>-99.826987340967804</v>
      </c>
      <c r="Q87" s="52" t="s">
        <v>674</v>
      </c>
      <c r="R87" s="52">
        <v>-99.616367135526303</v>
      </c>
      <c r="S87" s="52">
        <v>232.117369378722</v>
      </c>
      <c r="T87" s="52" t="s">
        <v>674</v>
      </c>
      <c r="U87" s="98">
        <v>76.607671560268599</v>
      </c>
      <c r="V87" s="53">
        <v>-97.134564228840702</v>
      </c>
    </row>
    <row r="88" spans="1:22" s="26" customFormat="1" x14ac:dyDescent="0.2">
      <c r="A88" s="75" t="str">
        <f>VLOOKUP("&lt;Zeilentitel_76&gt;",Uebersetzungen!$B$3:$E$931,Uebersetzungen!$B$2+1,FALSE)</f>
        <v>M69</v>
      </c>
      <c r="B88" s="83" t="str">
        <f>VLOOKUP("&lt;Zeilentitel_76.1&gt;",Uebersetzungen!$B$3:$E$931,Uebersetzungen!$B$2+1,FALSE)</f>
        <v>Rechts-, Steuerberatungs- und Wirtschaftsprüfungsleistungen</v>
      </c>
      <c r="C88" s="32"/>
      <c r="D88" s="46" t="s">
        <v>673</v>
      </c>
      <c r="E88" s="65" t="s">
        <v>673</v>
      </c>
      <c r="F88" s="65" t="s">
        <v>673</v>
      </c>
      <c r="G88" s="65" t="s">
        <v>673</v>
      </c>
      <c r="H88" s="65" t="s">
        <v>673</v>
      </c>
      <c r="I88" s="65" t="s">
        <v>673</v>
      </c>
      <c r="J88" s="65" t="s">
        <v>673</v>
      </c>
      <c r="K88" s="93" t="s">
        <v>673</v>
      </c>
      <c r="L88" s="66" t="s">
        <v>673</v>
      </c>
      <c r="M88" s="44"/>
      <c r="N88" s="54" t="s">
        <v>673</v>
      </c>
      <c r="O88" s="55" t="s">
        <v>673</v>
      </c>
      <c r="P88" s="55" t="s">
        <v>673</v>
      </c>
      <c r="Q88" s="55" t="s">
        <v>673</v>
      </c>
      <c r="R88" s="55" t="s">
        <v>673</v>
      </c>
      <c r="S88" s="55" t="s">
        <v>673</v>
      </c>
      <c r="T88" s="55" t="s">
        <v>673</v>
      </c>
      <c r="U88" s="99" t="s">
        <v>673</v>
      </c>
      <c r="V88" s="56" t="s">
        <v>673</v>
      </c>
    </row>
    <row r="89" spans="1:22" s="26" customFormat="1" x14ac:dyDescent="0.2">
      <c r="A89" s="75" t="str">
        <f>VLOOKUP("&lt;Zeilentitel_77&gt;",Uebersetzungen!$B$3:$E$931,Uebersetzungen!$B$2+1,FALSE)</f>
        <v>M70</v>
      </c>
      <c r="B89" s="83" t="str">
        <f>VLOOKUP("&lt;Zeilentitel_77.1&gt;",Uebersetzungen!$B$3:$E$931,Uebersetzungen!$B$2+1,FALSE)</f>
        <v>Dienstleistungen der Verwaltung und Führung von Unternehmen und Betrieben; Unternehmensberatungsleistungen</v>
      </c>
      <c r="C89" s="32"/>
      <c r="D89" s="46" t="s">
        <v>673</v>
      </c>
      <c r="E89" s="65" t="s">
        <v>673</v>
      </c>
      <c r="F89" s="65" t="s">
        <v>673</v>
      </c>
      <c r="G89" s="65" t="s">
        <v>673</v>
      </c>
      <c r="H89" s="65" t="s">
        <v>673</v>
      </c>
      <c r="I89" s="65" t="s">
        <v>673</v>
      </c>
      <c r="J89" s="65" t="s">
        <v>673</v>
      </c>
      <c r="K89" s="93" t="s">
        <v>673</v>
      </c>
      <c r="L89" s="66" t="s">
        <v>673</v>
      </c>
      <c r="M89" s="44"/>
      <c r="N89" s="54" t="s">
        <v>673</v>
      </c>
      <c r="O89" s="55" t="s">
        <v>673</v>
      </c>
      <c r="P89" s="55" t="s">
        <v>673</v>
      </c>
      <c r="Q89" s="55" t="s">
        <v>673</v>
      </c>
      <c r="R89" s="55" t="s">
        <v>673</v>
      </c>
      <c r="S89" s="55" t="s">
        <v>673</v>
      </c>
      <c r="T89" s="55" t="s">
        <v>673</v>
      </c>
      <c r="U89" s="99" t="s">
        <v>673</v>
      </c>
      <c r="V89" s="56" t="s">
        <v>673</v>
      </c>
    </row>
    <row r="90" spans="1:22" s="26" customFormat="1" ht="28.5" x14ac:dyDescent="0.2">
      <c r="A90" s="75" t="str">
        <f>VLOOKUP("&lt;Zeilentitel_78&gt;",Uebersetzungen!$B$3:$E$931,Uebersetzungen!$B$2+1,FALSE)</f>
        <v>M71</v>
      </c>
      <c r="B90" s="83" t="str">
        <f>VLOOKUP("&lt;Zeilentitel_78.1&gt;",Uebersetzungen!$B$3:$E$931,Uebersetzungen!$B$2+1,FALSE)</f>
        <v>Dienstleistungen von Architektur- und Ingenieurbüros und der technischen, physikalischen und chemischen Untersuchung</v>
      </c>
      <c r="C90" s="32"/>
      <c r="D90" s="46" t="s">
        <v>673</v>
      </c>
      <c r="E90" s="65" t="s">
        <v>673</v>
      </c>
      <c r="F90" s="65" t="s">
        <v>673</v>
      </c>
      <c r="G90" s="65" t="s">
        <v>673</v>
      </c>
      <c r="H90" s="65" t="s">
        <v>673</v>
      </c>
      <c r="I90" s="65" t="s">
        <v>673</v>
      </c>
      <c r="J90" s="65" t="s">
        <v>673</v>
      </c>
      <c r="K90" s="93" t="s">
        <v>673</v>
      </c>
      <c r="L90" s="66" t="s">
        <v>673</v>
      </c>
      <c r="M90" s="44"/>
      <c r="N90" s="54" t="s">
        <v>673</v>
      </c>
      <c r="O90" s="55" t="s">
        <v>673</v>
      </c>
      <c r="P90" s="55" t="s">
        <v>673</v>
      </c>
      <c r="Q90" s="55" t="s">
        <v>673</v>
      </c>
      <c r="R90" s="55" t="s">
        <v>673</v>
      </c>
      <c r="S90" s="55" t="s">
        <v>673</v>
      </c>
      <c r="T90" s="55" t="s">
        <v>673</v>
      </c>
      <c r="U90" s="99" t="s">
        <v>673</v>
      </c>
      <c r="V90" s="56" t="s">
        <v>673</v>
      </c>
    </row>
    <row r="91" spans="1:22" s="26" customFormat="1" x14ac:dyDescent="0.2">
      <c r="A91" s="75" t="str">
        <f>VLOOKUP("&lt;Zeilentitel_79&gt;",Uebersetzungen!$B$3:$E$931,Uebersetzungen!$B$2+1,FALSE)</f>
        <v>M72</v>
      </c>
      <c r="B91" s="83" t="str">
        <f>VLOOKUP("&lt;Zeilentitel_79.1&gt;",Uebersetzungen!$B$3:$E$931,Uebersetzungen!$B$2+1,FALSE)</f>
        <v>Forschungs- und Entwicklungsleistungen</v>
      </c>
      <c r="C91" s="32"/>
      <c r="D91" s="46" t="s">
        <v>673</v>
      </c>
      <c r="E91" s="65" t="s">
        <v>673</v>
      </c>
      <c r="F91" s="65" t="s">
        <v>673</v>
      </c>
      <c r="G91" s="65" t="s">
        <v>673</v>
      </c>
      <c r="H91" s="65" t="s">
        <v>673</v>
      </c>
      <c r="I91" s="65" t="s">
        <v>673</v>
      </c>
      <c r="J91" s="65" t="s">
        <v>673</v>
      </c>
      <c r="K91" s="93" t="s">
        <v>673</v>
      </c>
      <c r="L91" s="66" t="s">
        <v>673</v>
      </c>
      <c r="M91" s="44"/>
      <c r="N91" s="54" t="s">
        <v>673</v>
      </c>
      <c r="O91" s="55" t="s">
        <v>673</v>
      </c>
      <c r="P91" s="55" t="s">
        <v>673</v>
      </c>
      <c r="Q91" s="55" t="s">
        <v>673</v>
      </c>
      <c r="R91" s="55" t="s">
        <v>673</v>
      </c>
      <c r="S91" s="55" t="s">
        <v>673</v>
      </c>
      <c r="T91" s="55" t="s">
        <v>673</v>
      </c>
      <c r="U91" s="99" t="s">
        <v>673</v>
      </c>
      <c r="V91" s="56" t="s">
        <v>673</v>
      </c>
    </row>
    <row r="92" spans="1:22" s="26" customFormat="1" x14ac:dyDescent="0.2">
      <c r="A92" s="75" t="str">
        <f>VLOOKUP("&lt;Zeilentitel_80&gt;",Uebersetzungen!$B$3:$E$931,Uebersetzungen!$B$2+1,FALSE)</f>
        <v>M73</v>
      </c>
      <c r="B92" s="83" t="str">
        <f>VLOOKUP("&lt;Zeilentitel_80.1&gt;",Uebersetzungen!$B$3:$E$931,Uebersetzungen!$B$2+1,FALSE)</f>
        <v>Werbe- und Marktforschungsleistungen</v>
      </c>
      <c r="C92" s="32"/>
      <c r="D92" s="46" t="s">
        <v>673</v>
      </c>
      <c r="E92" s="65" t="s">
        <v>673</v>
      </c>
      <c r="F92" s="65" t="s">
        <v>673</v>
      </c>
      <c r="G92" s="65" t="s">
        <v>673</v>
      </c>
      <c r="H92" s="65" t="s">
        <v>673</v>
      </c>
      <c r="I92" s="65" t="s">
        <v>673</v>
      </c>
      <c r="J92" s="65" t="s">
        <v>673</v>
      </c>
      <c r="K92" s="93" t="s">
        <v>673</v>
      </c>
      <c r="L92" s="66" t="s">
        <v>673</v>
      </c>
      <c r="M92" s="44"/>
      <c r="N92" s="54" t="s">
        <v>673</v>
      </c>
      <c r="O92" s="55" t="s">
        <v>673</v>
      </c>
      <c r="P92" s="55" t="s">
        <v>673</v>
      </c>
      <c r="Q92" s="55" t="s">
        <v>673</v>
      </c>
      <c r="R92" s="55" t="s">
        <v>673</v>
      </c>
      <c r="S92" s="55" t="s">
        <v>673</v>
      </c>
      <c r="T92" s="55" t="s">
        <v>673</v>
      </c>
      <c r="U92" s="99" t="s">
        <v>673</v>
      </c>
      <c r="V92" s="56" t="s">
        <v>673</v>
      </c>
    </row>
    <row r="93" spans="1:22" s="26" customFormat="1" x14ac:dyDescent="0.2">
      <c r="A93" s="75" t="str">
        <f>VLOOKUP("&lt;Zeilentitel_81&gt;",Uebersetzungen!$B$3:$E$931,Uebersetzungen!$B$2+1,FALSE)</f>
        <v>M74</v>
      </c>
      <c r="B93" s="83" t="str">
        <f>VLOOKUP("&lt;Zeilentitel_81.1&gt;",Uebersetzungen!$B$3:$E$931,Uebersetzungen!$B$2+1,FALSE)</f>
        <v>Sonstige freiberufliche, wissenschaftliche und technische Dienstleistungen</v>
      </c>
      <c r="C93" s="32"/>
      <c r="D93" s="46">
        <v>3.2449658959815102E-3</v>
      </c>
      <c r="E93" s="65">
        <v>9.2180466564907304E-2</v>
      </c>
      <c r="F93" s="65">
        <v>1.5948387631225199E-4</v>
      </c>
      <c r="G93" s="65">
        <v>3.25</v>
      </c>
      <c r="H93" s="65">
        <v>1.2468068095395999E-2</v>
      </c>
      <c r="I93" s="65">
        <v>4.14086197707767E-2</v>
      </c>
      <c r="J93" s="65">
        <v>1.35760883690708</v>
      </c>
      <c r="K93" s="93">
        <v>2.39764135575804</v>
      </c>
      <c r="L93" s="66">
        <v>6.8702873072000001E-2</v>
      </c>
      <c r="M93" s="44"/>
      <c r="N93" s="54" t="s">
        <v>673</v>
      </c>
      <c r="O93" s="55" t="s">
        <v>674</v>
      </c>
      <c r="P93" s="55">
        <v>-99.826987340967804</v>
      </c>
      <c r="Q93" s="55" t="s">
        <v>674</v>
      </c>
      <c r="R93" s="55">
        <v>-99.616367135526303</v>
      </c>
      <c r="S93" s="55">
        <v>232.117369378722</v>
      </c>
      <c r="T93" s="55" t="s">
        <v>674</v>
      </c>
      <c r="U93" s="99">
        <v>76.607671560268599</v>
      </c>
      <c r="V93" s="56">
        <v>-97.134564228840702</v>
      </c>
    </row>
    <row r="94" spans="1:22" s="26" customFormat="1" x14ac:dyDescent="0.2">
      <c r="A94" s="75" t="str">
        <f>VLOOKUP("&lt;Zeilentitel_82&gt;",Uebersetzungen!$B$3:$E$931,Uebersetzungen!$B$2+1,FALSE)</f>
        <v>M75</v>
      </c>
      <c r="B94" s="83" t="str">
        <f>VLOOKUP("&lt;Zeilentitel_82.1&gt;",Uebersetzungen!$B$3:$E$931,Uebersetzungen!$B$2+1,FALSE)</f>
        <v>Dienstleistungen des Veterinärwesens</v>
      </c>
      <c r="C94" s="32"/>
      <c r="D94" s="46" t="s">
        <v>673</v>
      </c>
      <c r="E94" s="65" t="s">
        <v>673</v>
      </c>
      <c r="F94" s="65" t="s">
        <v>673</v>
      </c>
      <c r="G94" s="65" t="s">
        <v>673</v>
      </c>
      <c r="H94" s="65" t="s">
        <v>673</v>
      </c>
      <c r="I94" s="65" t="s">
        <v>673</v>
      </c>
      <c r="J94" s="65" t="s">
        <v>673</v>
      </c>
      <c r="K94" s="93" t="s">
        <v>673</v>
      </c>
      <c r="L94" s="66" t="s">
        <v>673</v>
      </c>
      <c r="M94" s="44"/>
      <c r="N94" s="54" t="s">
        <v>673</v>
      </c>
      <c r="O94" s="55" t="s">
        <v>673</v>
      </c>
      <c r="P94" s="55" t="s">
        <v>673</v>
      </c>
      <c r="Q94" s="55" t="s">
        <v>673</v>
      </c>
      <c r="R94" s="55" t="s">
        <v>673</v>
      </c>
      <c r="S94" s="55" t="s">
        <v>673</v>
      </c>
      <c r="T94" s="55" t="s">
        <v>673</v>
      </c>
      <c r="U94" s="99" t="s">
        <v>673</v>
      </c>
      <c r="V94" s="56" t="s">
        <v>673</v>
      </c>
    </row>
    <row r="95" spans="1:22" s="26" customFormat="1" x14ac:dyDescent="0.2">
      <c r="A95" s="77" t="str">
        <f>VLOOKUP("&lt;Zeilentitel_83&gt;",Uebersetzungen!$B$3:$E$931,Uebersetzungen!$B$2+1,FALSE)</f>
        <v>N</v>
      </c>
      <c r="B95" s="84" t="str">
        <f>VLOOKUP("&lt;Zeilentitel_83.1&gt;",Uebersetzungen!$B$3:$E$931,Uebersetzungen!$B$2+1,FALSE)</f>
        <v>SONSTIGE WIRTSCHAFTLICHE DIENSTLEISTUNGEN</v>
      </c>
      <c r="C95" s="32"/>
      <c r="D95" s="45" t="s">
        <v>673</v>
      </c>
      <c r="E95" s="63" t="s">
        <v>673</v>
      </c>
      <c r="F95" s="63" t="s">
        <v>673</v>
      </c>
      <c r="G95" s="63" t="s">
        <v>673</v>
      </c>
      <c r="H95" s="63" t="s">
        <v>673</v>
      </c>
      <c r="I95" s="63" t="s">
        <v>673</v>
      </c>
      <c r="J95" s="63" t="s">
        <v>673</v>
      </c>
      <c r="K95" s="92" t="s">
        <v>673</v>
      </c>
      <c r="L95" s="64" t="s">
        <v>673</v>
      </c>
      <c r="M95" s="43"/>
      <c r="N95" s="51" t="s">
        <v>673</v>
      </c>
      <c r="O95" s="52" t="s">
        <v>673</v>
      </c>
      <c r="P95" s="52" t="s">
        <v>673</v>
      </c>
      <c r="Q95" s="52" t="s">
        <v>673</v>
      </c>
      <c r="R95" s="52" t="s">
        <v>673</v>
      </c>
      <c r="S95" s="52" t="s">
        <v>673</v>
      </c>
      <c r="T95" s="52" t="s">
        <v>673</v>
      </c>
      <c r="U95" s="98" t="s">
        <v>673</v>
      </c>
      <c r="V95" s="53" t="s">
        <v>673</v>
      </c>
    </row>
    <row r="96" spans="1:22" s="26" customFormat="1" x14ac:dyDescent="0.2">
      <c r="A96" s="75" t="str">
        <f>VLOOKUP("&lt;Zeilentitel_84&gt;",Uebersetzungen!$B$3:$E$931,Uebersetzungen!$B$2+1,FALSE)</f>
        <v>N77</v>
      </c>
      <c r="B96" s="83" t="str">
        <f>VLOOKUP("&lt;Zeilentitel_84.1&gt;",Uebersetzungen!$B$3:$E$931,Uebersetzungen!$B$2+1,FALSE)</f>
        <v>Dienstleistungen der Vermietung von beweglichen Sachen</v>
      </c>
      <c r="C96" s="32"/>
      <c r="D96" s="46" t="s">
        <v>673</v>
      </c>
      <c r="E96" s="65" t="s">
        <v>673</v>
      </c>
      <c r="F96" s="65" t="s">
        <v>673</v>
      </c>
      <c r="G96" s="65" t="s">
        <v>673</v>
      </c>
      <c r="H96" s="65" t="s">
        <v>673</v>
      </c>
      <c r="I96" s="65" t="s">
        <v>673</v>
      </c>
      <c r="J96" s="65" t="s">
        <v>673</v>
      </c>
      <c r="K96" s="93" t="s">
        <v>673</v>
      </c>
      <c r="L96" s="66" t="s">
        <v>673</v>
      </c>
      <c r="M96" s="44"/>
      <c r="N96" s="54" t="s">
        <v>673</v>
      </c>
      <c r="O96" s="55" t="s">
        <v>673</v>
      </c>
      <c r="P96" s="55" t="s">
        <v>673</v>
      </c>
      <c r="Q96" s="55" t="s">
        <v>673</v>
      </c>
      <c r="R96" s="55" t="s">
        <v>673</v>
      </c>
      <c r="S96" s="55" t="s">
        <v>673</v>
      </c>
      <c r="T96" s="55" t="s">
        <v>673</v>
      </c>
      <c r="U96" s="99" t="s">
        <v>673</v>
      </c>
      <c r="V96" s="56" t="s">
        <v>673</v>
      </c>
    </row>
    <row r="97" spans="1:22" s="26" customFormat="1" x14ac:dyDescent="0.2">
      <c r="A97" s="75" t="str">
        <f>VLOOKUP("&lt;Zeilentitel_85&gt;",Uebersetzungen!$B$3:$E$931,Uebersetzungen!$B$2+1,FALSE)</f>
        <v>N78</v>
      </c>
      <c r="B97" s="83" t="str">
        <f>VLOOKUP("&lt;Zeilentitel_85.1&gt;",Uebersetzungen!$B$3:$E$931,Uebersetzungen!$B$2+1,FALSE)</f>
        <v>Dienstleistungen der Vermittlung und Überlassung von Arbeitskräften und des Personalmanagements</v>
      </c>
      <c r="C97" s="32"/>
      <c r="D97" s="46" t="s">
        <v>673</v>
      </c>
      <c r="E97" s="65" t="s">
        <v>673</v>
      </c>
      <c r="F97" s="65" t="s">
        <v>673</v>
      </c>
      <c r="G97" s="65" t="s">
        <v>673</v>
      </c>
      <c r="H97" s="65" t="s">
        <v>673</v>
      </c>
      <c r="I97" s="65" t="s">
        <v>673</v>
      </c>
      <c r="J97" s="65" t="s">
        <v>673</v>
      </c>
      <c r="K97" s="93" t="s">
        <v>673</v>
      </c>
      <c r="L97" s="66" t="s">
        <v>673</v>
      </c>
      <c r="M97" s="44"/>
      <c r="N97" s="54" t="s">
        <v>673</v>
      </c>
      <c r="O97" s="55" t="s">
        <v>673</v>
      </c>
      <c r="P97" s="55" t="s">
        <v>673</v>
      </c>
      <c r="Q97" s="55" t="s">
        <v>673</v>
      </c>
      <c r="R97" s="55" t="s">
        <v>673</v>
      </c>
      <c r="S97" s="55" t="s">
        <v>673</v>
      </c>
      <c r="T97" s="55" t="s">
        <v>673</v>
      </c>
      <c r="U97" s="99" t="s">
        <v>673</v>
      </c>
      <c r="V97" s="56" t="s">
        <v>673</v>
      </c>
    </row>
    <row r="98" spans="1:22" s="26" customFormat="1" x14ac:dyDescent="0.2">
      <c r="A98" s="75" t="str">
        <f>VLOOKUP("&lt;Zeilentitel_86&gt;",Uebersetzungen!$B$3:$E$931,Uebersetzungen!$B$2+1,FALSE)</f>
        <v>N79</v>
      </c>
      <c r="B98" s="83" t="str">
        <f>VLOOKUP("&lt;Zeilentitel_86.1&gt;",Uebersetzungen!$B$3:$E$931,Uebersetzungen!$B$2+1,FALSE)</f>
        <v>Dienstleistungen von Reisebüros und Reiseveranstaltern und sonstige Reservierungsdienstleistungen</v>
      </c>
      <c r="C98" s="32"/>
      <c r="D98" s="46" t="s">
        <v>673</v>
      </c>
      <c r="E98" s="65" t="s">
        <v>673</v>
      </c>
      <c r="F98" s="65" t="s">
        <v>673</v>
      </c>
      <c r="G98" s="65" t="s">
        <v>673</v>
      </c>
      <c r="H98" s="65" t="s">
        <v>673</v>
      </c>
      <c r="I98" s="65" t="s">
        <v>673</v>
      </c>
      <c r="J98" s="65" t="s">
        <v>673</v>
      </c>
      <c r="K98" s="93" t="s">
        <v>673</v>
      </c>
      <c r="L98" s="66" t="s">
        <v>673</v>
      </c>
      <c r="M98" s="44"/>
      <c r="N98" s="54" t="s">
        <v>673</v>
      </c>
      <c r="O98" s="55" t="s">
        <v>673</v>
      </c>
      <c r="P98" s="55" t="s">
        <v>673</v>
      </c>
      <c r="Q98" s="55" t="s">
        <v>673</v>
      </c>
      <c r="R98" s="55" t="s">
        <v>673</v>
      </c>
      <c r="S98" s="55" t="s">
        <v>673</v>
      </c>
      <c r="T98" s="55" t="s">
        <v>673</v>
      </c>
      <c r="U98" s="99" t="s">
        <v>673</v>
      </c>
      <c r="V98" s="56" t="s">
        <v>673</v>
      </c>
    </row>
    <row r="99" spans="1:22" s="26" customFormat="1" x14ac:dyDescent="0.2">
      <c r="A99" s="75" t="str">
        <f>VLOOKUP("&lt;Zeilentitel_87&gt;",Uebersetzungen!$B$3:$E$931,Uebersetzungen!$B$2+1,FALSE)</f>
        <v>N80</v>
      </c>
      <c r="B99" s="83" t="str">
        <f>VLOOKUP("&lt;Zeilentitel_87.1&gt;",Uebersetzungen!$B$3:$E$931,Uebersetzungen!$B$2+1,FALSE)</f>
        <v>Wach-, Sicherheits- und Detekteileistungen</v>
      </c>
      <c r="C99" s="32"/>
      <c r="D99" s="46" t="s">
        <v>673</v>
      </c>
      <c r="E99" s="65" t="s">
        <v>673</v>
      </c>
      <c r="F99" s="65" t="s">
        <v>673</v>
      </c>
      <c r="G99" s="65" t="s">
        <v>673</v>
      </c>
      <c r="H99" s="65" t="s">
        <v>673</v>
      </c>
      <c r="I99" s="65" t="s">
        <v>673</v>
      </c>
      <c r="J99" s="65" t="s">
        <v>673</v>
      </c>
      <c r="K99" s="93" t="s">
        <v>673</v>
      </c>
      <c r="L99" s="66" t="s">
        <v>673</v>
      </c>
      <c r="M99" s="44"/>
      <c r="N99" s="54" t="s">
        <v>673</v>
      </c>
      <c r="O99" s="55" t="s">
        <v>673</v>
      </c>
      <c r="P99" s="55" t="s">
        <v>673</v>
      </c>
      <c r="Q99" s="55" t="s">
        <v>673</v>
      </c>
      <c r="R99" s="55" t="s">
        <v>673</v>
      </c>
      <c r="S99" s="55" t="s">
        <v>673</v>
      </c>
      <c r="T99" s="55" t="s">
        <v>673</v>
      </c>
      <c r="U99" s="99" t="s">
        <v>673</v>
      </c>
      <c r="V99" s="56" t="s">
        <v>673</v>
      </c>
    </row>
    <row r="100" spans="1:22" s="26" customFormat="1" x14ac:dyDescent="0.2">
      <c r="A100" s="75" t="str">
        <f>VLOOKUP("&lt;Zeilentitel_88&gt;",Uebersetzungen!$B$3:$E$931,Uebersetzungen!$B$2+1,FALSE)</f>
        <v>N81</v>
      </c>
      <c r="B100" s="83" t="str">
        <f>VLOOKUP("&lt;Zeilentitel_88.1&gt;",Uebersetzungen!$B$3:$E$931,Uebersetzungen!$B$2+1,FALSE)</f>
        <v>Dienstleistungen der Gebäudebetreuung und des Garten- und Landschaftsbaus</v>
      </c>
      <c r="C100" s="32"/>
      <c r="D100" s="46" t="s">
        <v>673</v>
      </c>
      <c r="E100" s="65" t="s">
        <v>673</v>
      </c>
      <c r="F100" s="65" t="s">
        <v>673</v>
      </c>
      <c r="G100" s="65" t="s">
        <v>673</v>
      </c>
      <c r="H100" s="65" t="s">
        <v>673</v>
      </c>
      <c r="I100" s="65" t="s">
        <v>673</v>
      </c>
      <c r="J100" s="65" t="s">
        <v>673</v>
      </c>
      <c r="K100" s="93" t="s">
        <v>673</v>
      </c>
      <c r="L100" s="66" t="s">
        <v>673</v>
      </c>
      <c r="M100" s="44"/>
      <c r="N100" s="54" t="s">
        <v>673</v>
      </c>
      <c r="O100" s="55" t="s">
        <v>673</v>
      </c>
      <c r="P100" s="55" t="s">
        <v>673</v>
      </c>
      <c r="Q100" s="55" t="s">
        <v>673</v>
      </c>
      <c r="R100" s="55" t="s">
        <v>673</v>
      </c>
      <c r="S100" s="55" t="s">
        <v>673</v>
      </c>
      <c r="T100" s="55" t="s">
        <v>673</v>
      </c>
      <c r="U100" s="99" t="s">
        <v>673</v>
      </c>
      <c r="V100" s="56" t="s">
        <v>673</v>
      </c>
    </row>
    <row r="101" spans="1:22" s="26" customFormat="1" x14ac:dyDescent="0.2">
      <c r="A101" s="75" t="str">
        <f>VLOOKUP("&lt;Zeilentitel_89&gt;",Uebersetzungen!$B$3:$E$931,Uebersetzungen!$B$2+1,FALSE)</f>
        <v>N82</v>
      </c>
      <c r="B101" s="83" t="str">
        <f>VLOOKUP("&lt;Zeilentitel_89.1&gt;",Uebersetzungen!$B$3:$E$931,Uebersetzungen!$B$2+1,FALSE)</f>
        <v>Wirtschaftliche Dienstleistungen für Unternehmen und Privatpersonen, a.n.g.</v>
      </c>
      <c r="C101" s="32"/>
      <c r="D101" s="46" t="s">
        <v>673</v>
      </c>
      <c r="E101" s="65" t="s">
        <v>673</v>
      </c>
      <c r="F101" s="65" t="s">
        <v>673</v>
      </c>
      <c r="G101" s="65" t="s">
        <v>673</v>
      </c>
      <c r="H101" s="65" t="s">
        <v>673</v>
      </c>
      <c r="I101" s="65" t="s">
        <v>673</v>
      </c>
      <c r="J101" s="65" t="s">
        <v>673</v>
      </c>
      <c r="K101" s="93" t="s">
        <v>673</v>
      </c>
      <c r="L101" s="66" t="s">
        <v>673</v>
      </c>
      <c r="M101" s="44"/>
      <c r="N101" s="54" t="s">
        <v>673</v>
      </c>
      <c r="O101" s="55" t="s">
        <v>673</v>
      </c>
      <c r="P101" s="55" t="s">
        <v>673</v>
      </c>
      <c r="Q101" s="55" t="s">
        <v>673</v>
      </c>
      <c r="R101" s="55" t="s">
        <v>673</v>
      </c>
      <c r="S101" s="55" t="s">
        <v>673</v>
      </c>
      <c r="T101" s="55" t="s">
        <v>673</v>
      </c>
      <c r="U101" s="99" t="s">
        <v>673</v>
      </c>
      <c r="V101" s="56" t="s">
        <v>673</v>
      </c>
    </row>
    <row r="102" spans="1:22" s="26" customFormat="1" ht="28.5" x14ac:dyDescent="0.2">
      <c r="A102" s="77" t="str">
        <f>VLOOKUP("&lt;Zeilentitel_90&gt;",Uebersetzungen!$B$3:$E$931,Uebersetzungen!$B$2+1,FALSE)</f>
        <v>O</v>
      </c>
      <c r="B102" s="84" t="str">
        <f>VLOOKUP("&lt;Zeilentitel_90.1&gt;",Uebersetzungen!$B$3:$E$931,Uebersetzungen!$B$2+1,FALSE)</f>
        <v>DIENSTLEISTUNGEN DER ÖFFENTLICHEN VERWALTUNG, DER VERTEIDIGUNG UND DER SOZIALVERSICHERUNG</v>
      </c>
      <c r="C102" s="32"/>
      <c r="D102" s="45" t="s">
        <v>673</v>
      </c>
      <c r="E102" s="63" t="s">
        <v>673</v>
      </c>
      <c r="F102" s="63" t="s">
        <v>673</v>
      </c>
      <c r="G102" s="63" t="s">
        <v>673</v>
      </c>
      <c r="H102" s="63" t="s">
        <v>673</v>
      </c>
      <c r="I102" s="63" t="s">
        <v>673</v>
      </c>
      <c r="J102" s="63" t="s">
        <v>673</v>
      </c>
      <c r="K102" s="92" t="s">
        <v>673</v>
      </c>
      <c r="L102" s="64" t="s">
        <v>673</v>
      </c>
      <c r="M102" s="43"/>
      <c r="N102" s="51" t="s">
        <v>673</v>
      </c>
      <c r="O102" s="52" t="s">
        <v>673</v>
      </c>
      <c r="P102" s="52" t="s">
        <v>673</v>
      </c>
      <c r="Q102" s="52" t="s">
        <v>673</v>
      </c>
      <c r="R102" s="52" t="s">
        <v>673</v>
      </c>
      <c r="S102" s="52" t="s">
        <v>673</v>
      </c>
      <c r="T102" s="52" t="s">
        <v>673</v>
      </c>
      <c r="U102" s="98" t="s">
        <v>673</v>
      </c>
      <c r="V102" s="53" t="s">
        <v>673</v>
      </c>
    </row>
    <row r="103" spans="1:22" s="26" customFormat="1" x14ac:dyDescent="0.2">
      <c r="A103" s="75" t="str">
        <f>VLOOKUP("&lt;Zeilentitel_91&gt;",Uebersetzungen!$B$3:$E$931,Uebersetzungen!$B$2+1,FALSE)</f>
        <v>O84</v>
      </c>
      <c r="B103" s="83" t="str">
        <f>VLOOKUP("&lt;Zeilentitel_91.1&gt;",Uebersetzungen!$B$3:$E$931,Uebersetzungen!$B$2+1,FALSE)</f>
        <v>Dienstleistungen der öffentlichen Verwaltung, der Verteidigung und der Sozialversicherung</v>
      </c>
      <c r="C103" s="32"/>
      <c r="D103" s="46" t="s">
        <v>673</v>
      </c>
      <c r="E103" s="65" t="s">
        <v>673</v>
      </c>
      <c r="F103" s="65" t="s">
        <v>673</v>
      </c>
      <c r="G103" s="65" t="s">
        <v>673</v>
      </c>
      <c r="H103" s="65" t="s">
        <v>673</v>
      </c>
      <c r="I103" s="65" t="s">
        <v>673</v>
      </c>
      <c r="J103" s="65" t="s">
        <v>673</v>
      </c>
      <c r="K103" s="93" t="s">
        <v>673</v>
      </c>
      <c r="L103" s="66" t="s">
        <v>673</v>
      </c>
      <c r="M103" s="44"/>
      <c r="N103" s="54" t="s">
        <v>673</v>
      </c>
      <c r="O103" s="55" t="s">
        <v>673</v>
      </c>
      <c r="P103" s="55" t="s">
        <v>673</v>
      </c>
      <c r="Q103" s="55" t="s">
        <v>673</v>
      </c>
      <c r="R103" s="55" t="s">
        <v>673</v>
      </c>
      <c r="S103" s="55" t="s">
        <v>673</v>
      </c>
      <c r="T103" s="55" t="s">
        <v>673</v>
      </c>
      <c r="U103" s="99" t="s">
        <v>673</v>
      </c>
      <c r="V103" s="56" t="s">
        <v>673</v>
      </c>
    </row>
    <row r="104" spans="1:22" s="26" customFormat="1" x14ac:dyDescent="0.2">
      <c r="A104" s="77" t="str">
        <f>VLOOKUP("&lt;Zeilentitel_92&gt;",Uebersetzungen!$B$3:$E$931,Uebersetzungen!$B$2+1,FALSE)</f>
        <v>P</v>
      </c>
      <c r="B104" s="84" t="str">
        <f>VLOOKUP("&lt;Zeilentitel_92.1&gt;",Uebersetzungen!$B$3:$E$931,Uebersetzungen!$B$2+1,FALSE)</f>
        <v>ERZIEHUNGS- UND UNTERRICHTSDIENSTLEISTUNGEN</v>
      </c>
      <c r="C104" s="32"/>
      <c r="D104" s="45" t="s">
        <v>673</v>
      </c>
      <c r="E104" s="63" t="s">
        <v>673</v>
      </c>
      <c r="F104" s="63" t="s">
        <v>673</v>
      </c>
      <c r="G104" s="63" t="s">
        <v>673</v>
      </c>
      <c r="H104" s="63" t="s">
        <v>673</v>
      </c>
      <c r="I104" s="63" t="s">
        <v>673</v>
      </c>
      <c r="J104" s="63" t="s">
        <v>673</v>
      </c>
      <c r="K104" s="92" t="s">
        <v>673</v>
      </c>
      <c r="L104" s="64" t="s">
        <v>673</v>
      </c>
      <c r="M104" s="43"/>
      <c r="N104" s="51" t="s">
        <v>673</v>
      </c>
      <c r="O104" s="52" t="s">
        <v>673</v>
      </c>
      <c r="P104" s="52" t="s">
        <v>673</v>
      </c>
      <c r="Q104" s="52" t="s">
        <v>673</v>
      </c>
      <c r="R104" s="52" t="s">
        <v>673</v>
      </c>
      <c r="S104" s="52" t="s">
        <v>673</v>
      </c>
      <c r="T104" s="52" t="s">
        <v>673</v>
      </c>
      <c r="U104" s="98" t="s">
        <v>673</v>
      </c>
      <c r="V104" s="53" t="s">
        <v>673</v>
      </c>
    </row>
    <row r="105" spans="1:22" s="26" customFormat="1" x14ac:dyDescent="0.2">
      <c r="A105" s="75" t="str">
        <f>VLOOKUP("&lt;Zeilentitel_93&gt;",Uebersetzungen!$B$3:$E$931,Uebersetzungen!$B$2+1,FALSE)</f>
        <v>P85</v>
      </c>
      <c r="B105" s="83" t="str">
        <f>VLOOKUP("&lt;Zeilentitel_93.1&gt;",Uebersetzungen!$B$3:$E$931,Uebersetzungen!$B$2+1,FALSE)</f>
        <v>Erziehungs- und Unterrichtsdienstleistungen</v>
      </c>
      <c r="C105" s="32"/>
      <c r="D105" s="46" t="s">
        <v>673</v>
      </c>
      <c r="E105" s="65" t="s">
        <v>673</v>
      </c>
      <c r="F105" s="65" t="s">
        <v>673</v>
      </c>
      <c r="G105" s="65" t="s">
        <v>673</v>
      </c>
      <c r="H105" s="65" t="s">
        <v>673</v>
      </c>
      <c r="I105" s="65" t="s">
        <v>673</v>
      </c>
      <c r="J105" s="65" t="s">
        <v>673</v>
      </c>
      <c r="K105" s="93" t="s">
        <v>673</v>
      </c>
      <c r="L105" s="66" t="s">
        <v>673</v>
      </c>
      <c r="M105" s="44"/>
      <c r="N105" s="54" t="s">
        <v>673</v>
      </c>
      <c r="O105" s="55" t="s">
        <v>673</v>
      </c>
      <c r="P105" s="55" t="s">
        <v>673</v>
      </c>
      <c r="Q105" s="55" t="s">
        <v>673</v>
      </c>
      <c r="R105" s="55" t="s">
        <v>673</v>
      </c>
      <c r="S105" s="55" t="s">
        <v>673</v>
      </c>
      <c r="T105" s="55" t="s">
        <v>673</v>
      </c>
      <c r="U105" s="99" t="s">
        <v>673</v>
      </c>
      <c r="V105" s="56" t="s">
        <v>673</v>
      </c>
    </row>
    <row r="106" spans="1:22" s="26" customFormat="1" x14ac:dyDescent="0.2">
      <c r="A106" s="77" t="str">
        <f>VLOOKUP("&lt;Zeilentitel_94&gt;",Uebersetzungen!$B$3:$E$931,Uebersetzungen!$B$2+1,FALSE)</f>
        <v>Q</v>
      </c>
      <c r="B106" s="84" t="str">
        <f>VLOOKUP("&lt;Zeilentitel_94.1&gt;",Uebersetzungen!$B$3:$E$931,Uebersetzungen!$B$2+1,FALSE)</f>
        <v>DIENSTLEISTUNGEN DES GESUNDHEITS- UND SOZIALWESENS</v>
      </c>
      <c r="C106" s="32"/>
      <c r="D106" s="45" t="s">
        <v>673</v>
      </c>
      <c r="E106" s="63" t="s">
        <v>673</v>
      </c>
      <c r="F106" s="63" t="s">
        <v>673</v>
      </c>
      <c r="G106" s="63" t="s">
        <v>673</v>
      </c>
      <c r="H106" s="63" t="s">
        <v>673</v>
      </c>
      <c r="I106" s="63" t="s">
        <v>673</v>
      </c>
      <c r="J106" s="63" t="s">
        <v>673</v>
      </c>
      <c r="K106" s="92" t="s">
        <v>673</v>
      </c>
      <c r="L106" s="64" t="s">
        <v>673</v>
      </c>
      <c r="M106" s="43"/>
      <c r="N106" s="51" t="s">
        <v>673</v>
      </c>
      <c r="O106" s="52" t="s">
        <v>673</v>
      </c>
      <c r="P106" s="52" t="s">
        <v>673</v>
      </c>
      <c r="Q106" s="52" t="s">
        <v>673</v>
      </c>
      <c r="R106" s="52" t="s">
        <v>673</v>
      </c>
      <c r="S106" s="52" t="s">
        <v>673</v>
      </c>
      <c r="T106" s="52" t="s">
        <v>673</v>
      </c>
      <c r="U106" s="98" t="s">
        <v>673</v>
      </c>
      <c r="V106" s="53" t="s">
        <v>673</v>
      </c>
    </row>
    <row r="107" spans="1:22" s="26" customFormat="1" x14ac:dyDescent="0.2">
      <c r="A107" s="75" t="str">
        <f>VLOOKUP("&lt;Zeilentitel_95&gt;",Uebersetzungen!$B$3:$E$931,Uebersetzungen!$B$2+1,FALSE)</f>
        <v>Q86</v>
      </c>
      <c r="B107" s="83" t="str">
        <f>VLOOKUP("&lt;Zeilentitel_95.1&gt;",Uebersetzungen!$B$3:$E$931,Uebersetzungen!$B$2+1,FALSE)</f>
        <v>Dienstleistungen des Gesundheitswesens</v>
      </c>
      <c r="C107" s="32"/>
      <c r="D107" s="46" t="s">
        <v>673</v>
      </c>
      <c r="E107" s="65" t="s">
        <v>673</v>
      </c>
      <c r="F107" s="65" t="s">
        <v>673</v>
      </c>
      <c r="G107" s="65" t="s">
        <v>673</v>
      </c>
      <c r="H107" s="65" t="s">
        <v>673</v>
      </c>
      <c r="I107" s="65" t="s">
        <v>673</v>
      </c>
      <c r="J107" s="65" t="s">
        <v>673</v>
      </c>
      <c r="K107" s="93" t="s">
        <v>673</v>
      </c>
      <c r="L107" s="66" t="s">
        <v>673</v>
      </c>
      <c r="M107" s="44"/>
      <c r="N107" s="54" t="s">
        <v>673</v>
      </c>
      <c r="O107" s="55" t="s">
        <v>673</v>
      </c>
      <c r="P107" s="55" t="s">
        <v>673</v>
      </c>
      <c r="Q107" s="55" t="s">
        <v>673</v>
      </c>
      <c r="R107" s="55" t="s">
        <v>673</v>
      </c>
      <c r="S107" s="55" t="s">
        <v>673</v>
      </c>
      <c r="T107" s="55" t="s">
        <v>673</v>
      </c>
      <c r="U107" s="99" t="s">
        <v>673</v>
      </c>
      <c r="V107" s="56" t="s">
        <v>673</v>
      </c>
    </row>
    <row r="108" spans="1:22" s="26" customFormat="1" x14ac:dyDescent="0.2">
      <c r="A108" s="75" t="str">
        <f>VLOOKUP("&lt;Zeilentitel_96&gt;",Uebersetzungen!$B$3:$E$931,Uebersetzungen!$B$2+1,FALSE)</f>
        <v>Q87</v>
      </c>
      <c r="B108" s="83" t="str">
        <f>VLOOKUP("&lt;Zeilentitel_96.1&gt;",Uebersetzungen!$B$3:$E$931,Uebersetzungen!$B$2+1,FALSE)</f>
        <v>Dienstleistungen von Heimen (ohne Erholungs- und Ferienheime)</v>
      </c>
      <c r="C108" s="32"/>
      <c r="D108" s="46" t="s">
        <v>673</v>
      </c>
      <c r="E108" s="65" t="s">
        <v>673</v>
      </c>
      <c r="F108" s="65" t="s">
        <v>673</v>
      </c>
      <c r="G108" s="65" t="s">
        <v>673</v>
      </c>
      <c r="H108" s="65" t="s">
        <v>673</v>
      </c>
      <c r="I108" s="65" t="s">
        <v>673</v>
      </c>
      <c r="J108" s="65" t="s">
        <v>673</v>
      </c>
      <c r="K108" s="93" t="s">
        <v>673</v>
      </c>
      <c r="L108" s="66" t="s">
        <v>673</v>
      </c>
      <c r="M108" s="44"/>
      <c r="N108" s="54" t="s">
        <v>673</v>
      </c>
      <c r="O108" s="55" t="s">
        <v>673</v>
      </c>
      <c r="P108" s="55" t="s">
        <v>673</v>
      </c>
      <c r="Q108" s="55" t="s">
        <v>673</v>
      </c>
      <c r="R108" s="55" t="s">
        <v>673</v>
      </c>
      <c r="S108" s="55" t="s">
        <v>673</v>
      </c>
      <c r="T108" s="55" t="s">
        <v>673</v>
      </c>
      <c r="U108" s="99" t="s">
        <v>673</v>
      </c>
      <c r="V108" s="56" t="s">
        <v>673</v>
      </c>
    </row>
    <row r="109" spans="1:22" s="26" customFormat="1" x14ac:dyDescent="0.2">
      <c r="A109" s="75" t="str">
        <f>VLOOKUP("&lt;Zeilentitel_97&gt;",Uebersetzungen!$B$3:$E$931,Uebersetzungen!$B$2+1,FALSE)</f>
        <v>Q88</v>
      </c>
      <c r="B109" s="83" t="str">
        <f>VLOOKUP("&lt;Zeilentitel_97.1&gt;",Uebersetzungen!$B$3:$E$931,Uebersetzungen!$B$2+1,FALSE)</f>
        <v>Dienstleistungen des Sozialwesens (ohne Heime), a.n.g.</v>
      </c>
      <c r="C109" s="32"/>
      <c r="D109" s="46" t="s">
        <v>673</v>
      </c>
      <c r="E109" s="65" t="s">
        <v>673</v>
      </c>
      <c r="F109" s="65" t="s">
        <v>673</v>
      </c>
      <c r="G109" s="65" t="s">
        <v>673</v>
      </c>
      <c r="H109" s="65" t="s">
        <v>673</v>
      </c>
      <c r="I109" s="65" t="s">
        <v>673</v>
      </c>
      <c r="J109" s="65" t="s">
        <v>673</v>
      </c>
      <c r="K109" s="93" t="s">
        <v>673</v>
      </c>
      <c r="L109" s="66" t="s">
        <v>673</v>
      </c>
      <c r="M109" s="44"/>
      <c r="N109" s="54" t="s">
        <v>673</v>
      </c>
      <c r="O109" s="55" t="s">
        <v>673</v>
      </c>
      <c r="P109" s="55" t="s">
        <v>673</v>
      </c>
      <c r="Q109" s="55" t="s">
        <v>673</v>
      </c>
      <c r="R109" s="55" t="s">
        <v>673</v>
      </c>
      <c r="S109" s="55" t="s">
        <v>673</v>
      </c>
      <c r="T109" s="55" t="s">
        <v>673</v>
      </c>
      <c r="U109" s="99" t="s">
        <v>673</v>
      </c>
      <c r="V109" s="56" t="s">
        <v>673</v>
      </c>
    </row>
    <row r="110" spans="1:22" s="26" customFormat="1" x14ac:dyDescent="0.2">
      <c r="A110" s="77" t="str">
        <f>VLOOKUP("&lt;Zeilentitel_98&gt;",Uebersetzungen!$B$3:$E$931,Uebersetzungen!$B$2+1,FALSE)</f>
        <v>R</v>
      </c>
      <c r="B110" s="84" t="str">
        <f>VLOOKUP("&lt;Zeilentitel_98.1&gt;",Uebersetzungen!$B$3:$E$931,Uebersetzungen!$B$2+1,FALSE)</f>
        <v>KUNST-, UNTERHALTUNGS- UND ERHOLUNGSDIENSTLEISTUNGEN</v>
      </c>
      <c r="C110" s="32"/>
      <c r="D110" s="45">
        <v>57185.647271264796</v>
      </c>
      <c r="E110" s="63">
        <v>72563.521576054714</v>
      </c>
      <c r="F110" s="63">
        <v>35825.464816638902</v>
      </c>
      <c r="G110" s="63">
        <v>20694.0238501028</v>
      </c>
      <c r="H110" s="63">
        <v>27561.294990193099</v>
      </c>
      <c r="I110" s="63">
        <v>28756.929349471902</v>
      </c>
      <c r="J110" s="63">
        <v>97906.143544725201</v>
      </c>
      <c r="K110" s="92">
        <v>54918.391297742601</v>
      </c>
      <c r="L110" s="64">
        <v>45368.838221161903</v>
      </c>
      <c r="M110" s="43"/>
      <c r="N110" s="51" t="s">
        <v>673</v>
      </c>
      <c r="O110" s="52">
        <v>26.891143212638301</v>
      </c>
      <c r="P110" s="52">
        <v>-50.628822804458601</v>
      </c>
      <c r="Q110" s="52">
        <v>-42.236551692996997</v>
      </c>
      <c r="R110" s="52">
        <v>33.184803447765702</v>
      </c>
      <c r="S110" s="52">
        <v>4.3380920951074904</v>
      </c>
      <c r="T110" s="52">
        <v>240.46104976963801</v>
      </c>
      <c r="U110" s="98">
        <v>-43.907103977949099</v>
      </c>
      <c r="V110" s="53">
        <v>-17.388624923128798</v>
      </c>
    </row>
    <row r="111" spans="1:22" s="26" customFormat="1" x14ac:dyDescent="0.2">
      <c r="A111" s="75" t="str">
        <f>VLOOKUP("&lt;Zeilentitel_99&gt;",Uebersetzungen!$B$3:$E$931,Uebersetzungen!$B$2+1,FALSE)</f>
        <v>R90</v>
      </c>
      <c r="B111" s="83" t="str">
        <f>VLOOKUP("&lt;Zeilentitel_99.1&gt;",Uebersetzungen!$B$3:$E$931,Uebersetzungen!$B$2+1,FALSE)</f>
        <v>Kreative, künstlerische und unterhaltende Dienstleistungen</v>
      </c>
      <c r="C111" s="32"/>
      <c r="D111" s="46">
        <v>57133.5713102792</v>
      </c>
      <c r="E111" s="65">
        <v>72446.863580716992</v>
      </c>
      <c r="F111" s="65">
        <v>35808.2756861077</v>
      </c>
      <c r="G111" s="65">
        <v>19951.2288819774</v>
      </c>
      <c r="H111" s="65">
        <v>27551.790620825999</v>
      </c>
      <c r="I111" s="65">
        <v>28723.976382835899</v>
      </c>
      <c r="J111" s="65">
        <v>97849.137665354705</v>
      </c>
      <c r="K111" s="93">
        <v>54913.536876149599</v>
      </c>
      <c r="L111" s="66">
        <v>45293.865281159902</v>
      </c>
      <c r="M111" s="44"/>
      <c r="N111" s="54" t="s">
        <v>673</v>
      </c>
      <c r="O111" s="55">
        <v>26.8026169540056</v>
      </c>
      <c r="P111" s="55">
        <v>-50.573049106243602</v>
      </c>
      <c r="Q111" s="55">
        <v>-44.283190129376301</v>
      </c>
      <c r="R111" s="55">
        <v>38.095707205857501</v>
      </c>
      <c r="S111" s="55">
        <v>4.2544812355094797</v>
      </c>
      <c r="T111" s="55">
        <v>240.653175455975</v>
      </c>
      <c r="U111" s="99">
        <v>-43.879385974811001</v>
      </c>
      <c r="V111" s="56">
        <v>-17.517851047703601</v>
      </c>
    </row>
    <row r="112" spans="1:22" s="26" customFormat="1" x14ac:dyDescent="0.2">
      <c r="A112" s="75" t="str">
        <f>VLOOKUP("&lt;Zeilentitel_100&gt;",Uebersetzungen!$B$3:$E$931,Uebersetzungen!$B$2+1,FALSE)</f>
        <v>R91</v>
      </c>
      <c r="B112" s="83" t="str">
        <f>VLOOKUP("&lt;Zeilentitel_100.1&gt;",Uebersetzungen!$B$3:$E$931,Uebersetzungen!$B$2+1,FALSE)</f>
        <v>Dienstleistungen von Bibliotheken, Archiven und Museen, botanischen und zoologischen Gärten</v>
      </c>
      <c r="C112" s="32"/>
      <c r="D112" s="46">
        <v>52.075960985555902</v>
      </c>
      <c r="E112" s="65">
        <v>116.65799533775399</v>
      </c>
      <c r="F112" s="65">
        <v>17.189130531173102</v>
      </c>
      <c r="G112" s="65">
        <v>742.79496812535501</v>
      </c>
      <c r="H112" s="65">
        <v>9.5043693671239602</v>
      </c>
      <c r="I112" s="65">
        <v>32.952966636041396</v>
      </c>
      <c r="J112" s="65">
        <v>57.005879370528</v>
      </c>
      <c r="K112" s="93">
        <v>4.85442159303377</v>
      </c>
      <c r="L112" s="66">
        <v>74.972940001997998</v>
      </c>
      <c r="M112" s="44"/>
      <c r="N112" s="54" t="s">
        <v>673</v>
      </c>
      <c r="O112" s="55">
        <v>124.015060173564</v>
      </c>
      <c r="P112" s="55">
        <v>-85.265364382950096</v>
      </c>
      <c r="Q112" s="55" t="s">
        <v>674</v>
      </c>
      <c r="R112" s="55">
        <v>-98.7204585686531</v>
      </c>
      <c r="S112" s="55">
        <v>246.71386772937501</v>
      </c>
      <c r="T112" s="55">
        <v>72.991645942369502</v>
      </c>
      <c r="U112" s="99">
        <v>-91.484349251976496</v>
      </c>
      <c r="V112" s="56" t="s">
        <v>674</v>
      </c>
    </row>
    <row r="113" spans="1:22" s="26" customFormat="1" x14ac:dyDescent="0.2">
      <c r="A113" s="75" t="str">
        <f>VLOOKUP("&lt;Zeilentitel_101&gt;",Uebersetzungen!$B$3:$E$931,Uebersetzungen!$B$2+1,FALSE)</f>
        <v>R92</v>
      </c>
      <c r="B113" s="83" t="str">
        <f>VLOOKUP("&lt;Zeilentitel_101.1&gt;",Uebersetzungen!$B$3:$E$931,Uebersetzungen!$B$2+1,FALSE)</f>
        <v>Dienstleistungen des Spiel-, Wett- und Lotteriewesens</v>
      </c>
      <c r="C113" s="32"/>
      <c r="D113" s="46" t="s">
        <v>673</v>
      </c>
      <c r="E113" s="65" t="s">
        <v>673</v>
      </c>
      <c r="F113" s="65" t="s">
        <v>673</v>
      </c>
      <c r="G113" s="65" t="s">
        <v>673</v>
      </c>
      <c r="H113" s="65" t="s">
        <v>673</v>
      </c>
      <c r="I113" s="65" t="s">
        <v>673</v>
      </c>
      <c r="J113" s="65" t="s">
        <v>673</v>
      </c>
      <c r="K113" s="93" t="s">
        <v>673</v>
      </c>
      <c r="L113" s="66" t="s">
        <v>673</v>
      </c>
      <c r="M113" s="44"/>
      <c r="N113" s="54" t="s">
        <v>673</v>
      </c>
      <c r="O113" s="55" t="s">
        <v>673</v>
      </c>
      <c r="P113" s="55" t="s">
        <v>673</v>
      </c>
      <c r="Q113" s="55" t="s">
        <v>673</v>
      </c>
      <c r="R113" s="55" t="s">
        <v>673</v>
      </c>
      <c r="S113" s="55" t="s">
        <v>673</v>
      </c>
      <c r="T113" s="55" t="s">
        <v>673</v>
      </c>
      <c r="U113" s="99" t="s">
        <v>673</v>
      </c>
      <c r="V113" s="56" t="s">
        <v>673</v>
      </c>
    </row>
    <row r="114" spans="1:22" s="26" customFormat="1" x14ac:dyDescent="0.2">
      <c r="A114" s="75" t="str">
        <f>VLOOKUP("&lt;Zeilentitel_102&gt;",Uebersetzungen!$B$3:$E$931,Uebersetzungen!$B$2+1,FALSE)</f>
        <v>R93</v>
      </c>
      <c r="B114" s="83" t="str">
        <f>VLOOKUP("&lt;Zeilentitel_102.1&gt;",Uebersetzungen!$B$3:$E$931,Uebersetzungen!$B$2+1,FALSE)</f>
        <v>Dienstleistungen des Sports, der Unterhaltung und der Erholung</v>
      </c>
      <c r="C114" s="32"/>
      <c r="D114" s="46" t="s">
        <v>673</v>
      </c>
      <c r="E114" s="65" t="s">
        <v>673</v>
      </c>
      <c r="F114" s="65" t="s">
        <v>673</v>
      </c>
      <c r="G114" s="65" t="s">
        <v>673</v>
      </c>
      <c r="H114" s="65" t="s">
        <v>673</v>
      </c>
      <c r="I114" s="65" t="s">
        <v>673</v>
      </c>
      <c r="J114" s="65" t="s">
        <v>673</v>
      </c>
      <c r="K114" s="93" t="s">
        <v>673</v>
      </c>
      <c r="L114" s="66" t="s">
        <v>673</v>
      </c>
      <c r="M114" s="44"/>
      <c r="N114" s="54" t="s">
        <v>673</v>
      </c>
      <c r="O114" s="55" t="s">
        <v>673</v>
      </c>
      <c r="P114" s="55" t="s">
        <v>673</v>
      </c>
      <c r="Q114" s="55" t="s">
        <v>673</v>
      </c>
      <c r="R114" s="55" t="s">
        <v>673</v>
      </c>
      <c r="S114" s="55" t="s">
        <v>673</v>
      </c>
      <c r="T114" s="55" t="s">
        <v>673</v>
      </c>
      <c r="U114" s="99" t="s">
        <v>673</v>
      </c>
      <c r="V114" s="56" t="s">
        <v>673</v>
      </c>
    </row>
    <row r="115" spans="1:22" s="26" customFormat="1" x14ac:dyDescent="0.2">
      <c r="A115" s="77" t="str">
        <f>VLOOKUP("&lt;Zeilentitel_103&gt;",Uebersetzungen!$B$3:$E$931,Uebersetzungen!$B$2+1,FALSE)</f>
        <v>S</v>
      </c>
      <c r="B115" s="84" t="str">
        <f>VLOOKUP("&lt;Zeilentitel_103.1&gt;",Uebersetzungen!$B$3:$E$931,Uebersetzungen!$B$2+1,FALSE)</f>
        <v>SONSTIGE DIENSTLEISTUNGEN</v>
      </c>
      <c r="C115" s="32"/>
      <c r="D115" s="45" t="s">
        <v>673</v>
      </c>
      <c r="E115" s="63" t="s">
        <v>673</v>
      </c>
      <c r="F115" s="63" t="s">
        <v>673</v>
      </c>
      <c r="G115" s="63" t="s">
        <v>673</v>
      </c>
      <c r="H115" s="63" t="s">
        <v>673</v>
      </c>
      <c r="I115" s="63" t="s">
        <v>673</v>
      </c>
      <c r="J115" s="63" t="s">
        <v>673</v>
      </c>
      <c r="K115" s="92" t="s">
        <v>673</v>
      </c>
      <c r="L115" s="64" t="s">
        <v>673</v>
      </c>
      <c r="M115" s="43"/>
      <c r="N115" s="51" t="s">
        <v>673</v>
      </c>
      <c r="O115" s="52" t="s">
        <v>673</v>
      </c>
      <c r="P115" s="52" t="s">
        <v>673</v>
      </c>
      <c r="Q115" s="52" t="s">
        <v>673</v>
      </c>
      <c r="R115" s="52" t="s">
        <v>673</v>
      </c>
      <c r="S115" s="52" t="s">
        <v>673</v>
      </c>
      <c r="T115" s="52" t="s">
        <v>673</v>
      </c>
      <c r="U115" s="98" t="s">
        <v>673</v>
      </c>
      <c r="V115" s="53" t="s">
        <v>673</v>
      </c>
    </row>
    <row r="116" spans="1:22" s="26" customFormat="1" ht="28.5" x14ac:dyDescent="0.2">
      <c r="A116" s="75" t="str">
        <f>VLOOKUP("&lt;Zeilentitel_104&gt;",Uebersetzungen!$B$3:$E$931,Uebersetzungen!$B$2+1,FALSE)</f>
        <v>S94</v>
      </c>
      <c r="B116" s="83" t="str">
        <f>VLOOKUP("&lt;Zeilentitel_104.1&gt;",Uebersetzungen!$B$3:$E$931,Uebersetzungen!$B$2+1,FALSE)</f>
        <v>Dienstleistungen von Interessenvertretungen sowie kirchlichen und sonstigen religiösen Vereinigungen (ohne Sozialwesen und Sport)</v>
      </c>
      <c r="C116" s="32"/>
      <c r="D116" s="46" t="s">
        <v>673</v>
      </c>
      <c r="E116" s="65" t="s">
        <v>673</v>
      </c>
      <c r="F116" s="65" t="s">
        <v>673</v>
      </c>
      <c r="G116" s="65" t="s">
        <v>673</v>
      </c>
      <c r="H116" s="65" t="s">
        <v>673</v>
      </c>
      <c r="I116" s="65" t="s">
        <v>673</v>
      </c>
      <c r="J116" s="65" t="s">
        <v>673</v>
      </c>
      <c r="K116" s="93" t="s">
        <v>673</v>
      </c>
      <c r="L116" s="66" t="s">
        <v>673</v>
      </c>
      <c r="M116" s="44"/>
      <c r="N116" s="54" t="s">
        <v>673</v>
      </c>
      <c r="O116" s="55" t="s">
        <v>673</v>
      </c>
      <c r="P116" s="55" t="s">
        <v>673</v>
      </c>
      <c r="Q116" s="55" t="s">
        <v>673</v>
      </c>
      <c r="R116" s="55" t="s">
        <v>673</v>
      </c>
      <c r="S116" s="55" t="s">
        <v>673</v>
      </c>
      <c r="T116" s="55" t="s">
        <v>673</v>
      </c>
      <c r="U116" s="99" t="s">
        <v>673</v>
      </c>
      <c r="V116" s="56" t="s">
        <v>673</v>
      </c>
    </row>
    <row r="117" spans="1:22" s="26" customFormat="1" x14ac:dyDescent="0.2">
      <c r="A117" s="75" t="str">
        <f>VLOOKUP("&lt;Zeilentitel_105&gt;",Uebersetzungen!$B$3:$E$931,Uebersetzungen!$B$2+1,FALSE)</f>
        <v>S95</v>
      </c>
      <c r="B117" s="83" t="str">
        <f>VLOOKUP("&lt;Zeilentitel_105.1&gt;",Uebersetzungen!$B$3:$E$931,Uebersetzungen!$B$2+1,FALSE)</f>
        <v>Reparaturarbeiten an Datenverarbeitungsgeräten und Gebrauchsgütern</v>
      </c>
      <c r="C117" s="11"/>
      <c r="D117" s="46" t="s">
        <v>673</v>
      </c>
      <c r="E117" s="65" t="s">
        <v>673</v>
      </c>
      <c r="F117" s="65" t="s">
        <v>673</v>
      </c>
      <c r="G117" s="65" t="s">
        <v>673</v>
      </c>
      <c r="H117" s="65" t="s">
        <v>673</v>
      </c>
      <c r="I117" s="65" t="s">
        <v>673</v>
      </c>
      <c r="J117" s="65" t="s">
        <v>673</v>
      </c>
      <c r="K117" s="93" t="s">
        <v>673</v>
      </c>
      <c r="L117" s="66" t="s">
        <v>673</v>
      </c>
      <c r="M117" s="44"/>
      <c r="N117" s="54" t="s">
        <v>673</v>
      </c>
      <c r="O117" s="55" t="s">
        <v>673</v>
      </c>
      <c r="P117" s="55" t="s">
        <v>673</v>
      </c>
      <c r="Q117" s="55" t="s">
        <v>673</v>
      </c>
      <c r="R117" s="55" t="s">
        <v>673</v>
      </c>
      <c r="S117" s="55" t="s">
        <v>673</v>
      </c>
      <c r="T117" s="55" t="s">
        <v>673</v>
      </c>
      <c r="U117" s="99" t="s">
        <v>673</v>
      </c>
      <c r="V117" s="56" t="s">
        <v>673</v>
      </c>
    </row>
    <row r="118" spans="1:22" s="26" customFormat="1" x14ac:dyDescent="0.2">
      <c r="A118" s="75" t="str">
        <f>VLOOKUP("&lt;Zeilentitel_106&gt;",Uebersetzungen!$B$3:$E$931,Uebersetzungen!$B$2+1,FALSE)</f>
        <v>S96</v>
      </c>
      <c r="B118" s="83" t="str">
        <f>VLOOKUP("&lt;Zeilentitel_106.1&gt;",Uebersetzungen!$B$3:$E$931,Uebersetzungen!$B$2+1,FALSE)</f>
        <v>Sonstige überwiegend persönliche Dienstleistungen</v>
      </c>
      <c r="C118" s="11"/>
      <c r="D118" s="46" t="s">
        <v>673</v>
      </c>
      <c r="E118" s="65" t="s">
        <v>673</v>
      </c>
      <c r="F118" s="65" t="s">
        <v>673</v>
      </c>
      <c r="G118" s="65" t="s">
        <v>673</v>
      </c>
      <c r="H118" s="65" t="s">
        <v>673</v>
      </c>
      <c r="I118" s="65" t="s">
        <v>673</v>
      </c>
      <c r="J118" s="65" t="s">
        <v>673</v>
      </c>
      <c r="K118" s="93" t="s">
        <v>673</v>
      </c>
      <c r="L118" s="66" t="s">
        <v>673</v>
      </c>
      <c r="M118" s="44"/>
      <c r="N118" s="54" t="s">
        <v>673</v>
      </c>
      <c r="O118" s="55" t="s">
        <v>673</v>
      </c>
      <c r="P118" s="55" t="s">
        <v>673</v>
      </c>
      <c r="Q118" s="55" t="s">
        <v>673</v>
      </c>
      <c r="R118" s="55" t="s">
        <v>673</v>
      </c>
      <c r="S118" s="55" t="s">
        <v>673</v>
      </c>
      <c r="T118" s="55" t="s">
        <v>673</v>
      </c>
      <c r="U118" s="99" t="s">
        <v>673</v>
      </c>
      <c r="V118" s="56" t="s">
        <v>673</v>
      </c>
    </row>
    <row r="119" spans="1:22" s="26" customFormat="1" ht="42.75" x14ac:dyDescent="0.2">
      <c r="A119" s="77" t="str">
        <f>VLOOKUP("&lt;Zeilentitel_107&gt;",Uebersetzungen!$B$3:$E$931,Uebersetzungen!$B$2+1,FALSE)</f>
        <v>T</v>
      </c>
      <c r="B119" s="84" t="str">
        <f>VLOOKUP("&lt;Zeilentitel_107.1&gt;",Uebersetzungen!$B$3:$E$931,Uebersetzungen!$B$2+1,FALSE)</f>
        <v>DIENSTLEISTUNGEN PRIVATER HAUSHALTE, DIE HAUSPERSONAL BESCHÄFTIGEN; VON PRIVATEN HAUSHALTEN PRODUZIERTE WAREN UND DIENSTLEISTUNGEN FÜR DEN EIGENBEDARF OHNE AUSGEPRÄGTEN SCHWERPUNKT</v>
      </c>
      <c r="C119" s="32"/>
      <c r="D119" s="45" t="s">
        <v>673</v>
      </c>
      <c r="E119" s="63" t="s">
        <v>673</v>
      </c>
      <c r="F119" s="63" t="s">
        <v>673</v>
      </c>
      <c r="G119" s="63" t="s">
        <v>673</v>
      </c>
      <c r="H119" s="63" t="s">
        <v>673</v>
      </c>
      <c r="I119" s="63" t="s">
        <v>673</v>
      </c>
      <c r="J119" s="63" t="s">
        <v>673</v>
      </c>
      <c r="K119" s="92" t="s">
        <v>673</v>
      </c>
      <c r="L119" s="64" t="s">
        <v>673</v>
      </c>
      <c r="M119" s="43"/>
      <c r="N119" s="51" t="s">
        <v>673</v>
      </c>
      <c r="O119" s="52" t="s">
        <v>673</v>
      </c>
      <c r="P119" s="52" t="s">
        <v>673</v>
      </c>
      <c r="Q119" s="52" t="s">
        <v>673</v>
      </c>
      <c r="R119" s="52" t="s">
        <v>673</v>
      </c>
      <c r="S119" s="52" t="s">
        <v>673</v>
      </c>
      <c r="T119" s="52" t="s">
        <v>673</v>
      </c>
      <c r="U119" s="98" t="s">
        <v>673</v>
      </c>
      <c r="V119" s="53" t="s">
        <v>673</v>
      </c>
    </row>
    <row r="120" spans="1:22" s="26" customFormat="1" x14ac:dyDescent="0.2">
      <c r="A120" s="75" t="str">
        <f>VLOOKUP("&lt;Zeilentitel_108&gt;",Uebersetzungen!$B$3:$E$931,Uebersetzungen!$B$2+1,FALSE)</f>
        <v>T97</v>
      </c>
      <c r="B120" s="83" t="str">
        <f>VLOOKUP("&lt;Zeilentitel_108.1&gt;",Uebersetzungen!$B$3:$E$931,Uebersetzungen!$B$2+1,FALSE)</f>
        <v>Dienstleistungen privater Haushalte, die Hauspersonal beschäftigen</v>
      </c>
      <c r="C120" s="5"/>
      <c r="D120" s="46" t="s">
        <v>673</v>
      </c>
      <c r="E120" s="65" t="s">
        <v>673</v>
      </c>
      <c r="F120" s="65" t="s">
        <v>673</v>
      </c>
      <c r="G120" s="65" t="s">
        <v>673</v>
      </c>
      <c r="H120" s="65" t="s">
        <v>673</v>
      </c>
      <c r="I120" s="65" t="s">
        <v>673</v>
      </c>
      <c r="J120" s="65" t="s">
        <v>673</v>
      </c>
      <c r="K120" s="93" t="s">
        <v>673</v>
      </c>
      <c r="L120" s="66" t="s">
        <v>673</v>
      </c>
      <c r="M120" s="44"/>
      <c r="N120" s="54" t="s">
        <v>673</v>
      </c>
      <c r="O120" s="55" t="s">
        <v>673</v>
      </c>
      <c r="P120" s="55" t="s">
        <v>673</v>
      </c>
      <c r="Q120" s="55" t="s">
        <v>673</v>
      </c>
      <c r="R120" s="55" t="s">
        <v>673</v>
      </c>
      <c r="S120" s="55" t="s">
        <v>673</v>
      </c>
      <c r="T120" s="55" t="s">
        <v>673</v>
      </c>
      <c r="U120" s="99" t="s">
        <v>673</v>
      </c>
      <c r="V120" s="56" t="s">
        <v>673</v>
      </c>
    </row>
    <row r="121" spans="1:22" s="26" customFormat="1" x14ac:dyDescent="0.2">
      <c r="A121" s="75" t="str">
        <f>VLOOKUP("&lt;Zeilentitel_109&gt;",Uebersetzungen!$B$3:$E$931,Uebersetzungen!$B$2+1,FALSE)</f>
        <v>T98</v>
      </c>
      <c r="B121" s="83" t="str">
        <f>VLOOKUP("&lt;Zeilentitel_109.1&gt;",Uebersetzungen!$B$3:$E$931,Uebersetzungen!$B$2+1,FALSE)</f>
        <v>Durch private Haushalte für den Eigenbedarf produzierte Waren und Dienstleistungen ohne ausgeprägten Schwerpunkt</v>
      </c>
      <c r="C121" s="7"/>
      <c r="D121" s="46" t="s">
        <v>673</v>
      </c>
      <c r="E121" s="65" t="s">
        <v>673</v>
      </c>
      <c r="F121" s="65" t="s">
        <v>673</v>
      </c>
      <c r="G121" s="65" t="s">
        <v>673</v>
      </c>
      <c r="H121" s="65" t="s">
        <v>673</v>
      </c>
      <c r="I121" s="65" t="s">
        <v>673</v>
      </c>
      <c r="J121" s="65" t="s">
        <v>673</v>
      </c>
      <c r="K121" s="93" t="s">
        <v>673</v>
      </c>
      <c r="L121" s="66" t="s">
        <v>673</v>
      </c>
      <c r="M121" s="44"/>
      <c r="N121" s="54" t="s">
        <v>673</v>
      </c>
      <c r="O121" s="55" t="s">
        <v>673</v>
      </c>
      <c r="P121" s="55" t="s">
        <v>673</v>
      </c>
      <c r="Q121" s="55" t="s">
        <v>673</v>
      </c>
      <c r="R121" s="55" t="s">
        <v>673</v>
      </c>
      <c r="S121" s="55" t="s">
        <v>673</v>
      </c>
      <c r="T121" s="55" t="s">
        <v>673</v>
      </c>
      <c r="U121" s="99" t="s">
        <v>673</v>
      </c>
      <c r="V121" s="56" t="s">
        <v>673</v>
      </c>
    </row>
    <row r="122" spans="1:22" s="26" customFormat="1" x14ac:dyDescent="0.2">
      <c r="A122" s="77" t="str">
        <f>VLOOKUP("&lt;Zeilentitel_110&gt;",Uebersetzungen!$B$3:$E$931,Uebersetzungen!$B$2+1,FALSE)</f>
        <v>U</v>
      </c>
      <c r="B122" s="84" t="str">
        <f>VLOOKUP("&lt;Zeilentitel_110.1&gt;",Uebersetzungen!$B$3:$E$931,Uebersetzungen!$B$2+1,FALSE)</f>
        <v>DIENSTLEISTUNGEN EXTERRITORIALER ORGANISATIONEN UND KÖRPERSCHAFTEN</v>
      </c>
      <c r="C122" s="32"/>
      <c r="D122" s="45" t="s">
        <v>673</v>
      </c>
      <c r="E122" s="63" t="s">
        <v>673</v>
      </c>
      <c r="F122" s="63" t="s">
        <v>673</v>
      </c>
      <c r="G122" s="63" t="s">
        <v>673</v>
      </c>
      <c r="H122" s="63" t="s">
        <v>673</v>
      </c>
      <c r="I122" s="63" t="s">
        <v>673</v>
      </c>
      <c r="J122" s="63" t="s">
        <v>673</v>
      </c>
      <c r="K122" s="92" t="s">
        <v>673</v>
      </c>
      <c r="L122" s="64" t="s">
        <v>673</v>
      </c>
      <c r="M122" s="43"/>
      <c r="N122" s="51" t="s">
        <v>673</v>
      </c>
      <c r="O122" s="52" t="s">
        <v>673</v>
      </c>
      <c r="P122" s="52" t="s">
        <v>673</v>
      </c>
      <c r="Q122" s="52" t="s">
        <v>673</v>
      </c>
      <c r="R122" s="52" t="s">
        <v>673</v>
      </c>
      <c r="S122" s="52" t="s">
        <v>673</v>
      </c>
      <c r="T122" s="52" t="s">
        <v>673</v>
      </c>
      <c r="U122" s="98" t="s">
        <v>673</v>
      </c>
      <c r="V122" s="53" t="s">
        <v>673</v>
      </c>
    </row>
    <row r="123" spans="1:22" ht="15" thickBot="1" x14ac:dyDescent="0.25">
      <c r="A123" s="76" t="str">
        <f>VLOOKUP("&lt;Zeilentitel_111&gt;",Uebersetzungen!$B$3:$E$931,Uebersetzungen!$B$2+1,FALSE)</f>
        <v>U99</v>
      </c>
      <c r="B123" s="85" t="str">
        <f>VLOOKUP("&lt;Zeilentitel_111.1&gt;",Uebersetzungen!$B$3:$E$931,Uebersetzungen!$B$2+1,FALSE)</f>
        <v>Dienstleistungen exterritorialer Organisationen und Körperschaften</v>
      </c>
      <c r="D123" s="47" t="s">
        <v>673</v>
      </c>
      <c r="E123" s="67" t="s">
        <v>673</v>
      </c>
      <c r="F123" s="67" t="s">
        <v>673</v>
      </c>
      <c r="G123" s="67" t="s">
        <v>673</v>
      </c>
      <c r="H123" s="67" t="s">
        <v>673</v>
      </c>
      <c r="I123" s="67" t="s">
        <v>673</v>
      </c>
      <c r="J123" s="67" t="s">
        <v>673</v>
      </c>
      <c r="K123" s="94" t="s">
        <v>673</v>
      </c>
      <c r="L123" s="68" t="s">
        <v>673</v>
      </c>
      <c r="M123" s="43"/>
      <c r="N123" s="57" t="s">
        <v>673</v>
      </c>
      <c r="O123" s="58" t="s">
        <v>673</v>
      </c>
      <c r="P123" s="58" t="s">
        <v>673</v>
      </c>
      <c r="Q123" s="58" t="s">
        <v>673</v>
      </c>
      <c r="R123" s="58" t="s">
        <v>673</v>
      </c>
      <c r="S123" s="58" t="s">
        <v>673</v>
      </c>
      <c r="T123" s="58" t="s">
        <v>673</v>
      </c>
      <c r="U123" s="100" t="s">
        <v>673</v>
      </c>
      <c r="V123" s="59" t="s">
        <v>673</v>
      </c>
    </row>
    <row r="124" spans="1:22" x14ac:dyDescent="0.2">
      <c r="D124" s="11"/>
      <c r="E124" s="11"/>
      <c r="F124" s="11"/>
      <c r="G124" s="11"/>
      <c r="H124" s="11"/>
      <c r="I124" s="11"/>
      <c r="J124" s="11"/>
      <c r="K124" s="43"/>
      <c r="L124" s="43"/>
      <c r="M124" s="11"/>
      <c r="N124" s="11"/>
      <c r="O124" s="11"/>
      <c r="P124" s="11"/>
      <c r="Q124" s="11"/>
      <c r="R124" s="11"/>
      <c r="S124" s="11"/>
      <c r="T124" s="11"/>
      <c r="U124" s="26"/>
    </row>
    <row r="125" spans="1:22" x14ac:dyDescent="0.2">
      <c r="A125" s="23" t="str">
        <f>VLOOKUP("&lt;Legende_1&gt;",Uebersetzungen!$B$3:$E$952,Uebersetzungen!$B$2+1,FALSE)</f>
        <v>*Statistische Güterklassifikation in Verbindung mit den Wirtschaftszweigen</v>
      </c>
      <c r="D125" s="11"/>
      <c r="E125" s="11"/>
      <c r="F125" s="11"/>
      <c r="G125" s="11"/>
      <c r="H125" s="11"/>
      <c r="I125" s="11"/>
      <c r="J125" s="11"/>
      <c r="K125" s="43"/>
      <c r="L125" s="43"/>
      <c r="M125" s="11"/>
      <c r="N125" s="11"/>
      <c r="O125" s="11"/>
      <c r="P125" s="11"/>
      <c r="Q125" s="11"/>
      <c r="R125" s="11"/>
      <c r="S125" s="11"/>
      <c r="T125" s="11"/>
      <c r="U125" s="26"/>
    </row>
    <row r="126" spans="1:22" x14ac:dyDescent="0.2">
      <c r="A126" s="23" t="str">
        <f>VLOOKUP("&lt;Legende_2&gt;",Uebersetzungen!$B$3:$E$952,Uebersetzungen!$B$2+1,FALSE)</f>
        <v>**Absolute Veränderung grösser als 999.99%</v>
      </c>
      <c r="D126" s="11"/>
      <c r="E126" s="11"/>
      <c r="F126" s="11"/>
      <c r="G126" s="11"/>
      <c r="H126" s="11"/>
      <c r="I126" s="11"/>
      <c r="J126" s="11"/>
      <c r="K126" s="43"/>
      <c r="L126" s="43"/>
      <c r="M126" s="11"/>
      <c r="N126" s="11"/>
      <c r="O126" s="11"/>
      <c r="P126" s="11"/>
      <c r="Q126" s="11"/>
      <c r="R126" s="11"/>
      <c r="S126" s="11"/>
      <c r="T126" s="11"/>
      <c r="U126" s="26"/>
    </row>
    <row r="127" spans="1:22" x14ac:dyDescent="0.2">
      <c r="D127" s="6"/>
      <c r="E127" s="6"/>
      <c r="F127" s="6"/>
      <c r="G127" s="6"/>
      <c r="H127" s="6"/>
      <c r="I127" s="6"/>
      <c r="J127" s="6"/>
      <c r="K127" s="37"/>
      <c r="L127" s="37"/>
      <c r="M127" s="5"/>
      <c r="N127" s="6"/>
      <c r="O127" s="6"/>
      <c r="P127" s="6"/>
      <c r="Q127" s="6"/>
      <c r="R127" s="6"/>
      <c r="S127" s="6"/>
      <c r="T127" s="6"/>
      <c r="U127" s="26"/>
    </row>
    <row r="128" spans="1:22" x14ac:dyDescent="0.2">
      <c r="A128" s="23" t="str">
        <f>VLOOKUP("&lt;Quelle_1&gt;",Uebersetzungen!$B$3:$E$952,Uebersetzungen!$B$2+1,FALSE)</f>
        <v>Quelle: Eidgenössische Zollverwaltung (Aussenhandelsstatistik)</v>
      </c>
      <c r="D128" s="7"/>
      <c r="E128" s="7"/>
      <c r="F128" s="7"/>
      <c r="G128" s="7"/>
      <c r="H128" s="7"/>
      <c r="I128" s="7"/>
      <c r="J128" s="7"/>
      <c r="K128" s="36"/>
      <c r="L128" s="36"/>
      <c r="M128" s="7"/>
      <c r="N128" s="7"/>
      <c r="O128" s="7"/>
      <c r="P128" s="7"/>
      <c r="Q128" s="7"/>
      <c r="R128" s="7"/>
      <c r="S128" s="7"/>
      <c r="T128" s="7"/>
      <c r="U128" s="26"/>
    </row>
    <row r="129" spans="1:21" x14ac:dyDescent="0.2">
      <c r="A129" s="23" t="str">
        <f>VLOOKUP("&lt;Aktualisierung&gt;",Uebersetzungen!$B$3:$E$952,Uebersetzungen!$B$2+1,FALSE)</f>
        <v>Letztmals aktualisiert am: 09.07.2025</v>
      </c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26"/>
    </row>
  </sheetData>
  <sheetProtection sheet="1" objects="1" scenarios="1"/>
  <mergeCells count="3">
    <mergeCell ref="A7:D7"/>
    <mergeCell ref="D12:L12"/>
    <mergeCell ref="N12:V12"/>
  </mergeCells>
  <pageMargins left="0.7" right="0.7" top="0.75" bottom="0.75" header="0.3" footer="0.3"/>
  <pageSetup paperSize="9" scale="3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2225" r:id="rId4" name="Option Button 1">
              <controlPr defaultSize="0" autoFill="0" autoLine="0" autoPict="0">
                <anchor moveWithCells="1">
                  <from>
                    <xdr:col>1</xdr:col>
                    <xdr:colOff>4295775</xdr:colOff>
                    <xdr:row>1</xdr:row>
                    <xdr:rowOff>114300</xdr:rowOff>
                  </from>
                  <to>
                    <xdr:col>1</xdr:col>
                    <xdr:colOff>5467350</xdr:colOff>
                    <xdr:row>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6" r:id="rId5" name="Option Button 2">
              <controlPr defaultSize="0" autoFill="0" autoLine="0" autoPict="0">
                <anchor moveWithCells="1">
                  <from>
                    <xdr:col>1</xdr:col>
                    <xdr:colOff>4295775</xdr:colOff>
                    <xdr:row>2</xdr:row>
                    <xdr:rowOff>114300</xdr:rowOff>
                  </from>
                  <to>
                    <xdr:col>1</xdr:col>
                    <xdr:colOff>5857875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7" r:id="rId6" name="Option Button 3">
              <controlPr defaultSize="0" autoFill="0" autoLine="0" autoPict="0">
                <anchor moveWithCells="1">
                  <from>
                    <xdr:col>1</xdr:col>
                    <xdr:colOff>4295775</xdr:colOff>
                    <xdr:row>3</xdr:row>
                    <xdr:rowOff>95250</xdr:rowOff>
                  </from>
                  <to>
                    <xdr:col>1</xdr:col>
                    <xdr:colOff>5467350</xdr:colOff>
                    <xdr:row>4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29"/>
  <sheetViews>
    <sheetView showGridLines="0" zoomScaleNormal="100" workbookViewId="0"/>
  </sheetViews>
  <sheetFormatPr baseColWidth="10" defaultColWidth="9.140625" defaultRowHeight="14.25" x14ac:dyDescent="0.2"/>
  <cols>
    <col min="1" max="1" width="21.140625" style="23" customWidth="1"/>
    <col min="2" max="2" width="116.140625" style="81" customWidth="1"/>
    <col min="3" max="3" width="5" style="23" customWidth="1"/>
    <col min="4" max="12" width="16.7109375" style="23" customWidth="1"/>
    <col min="13" max="13" width="5" style="23" customWidth="1"/>
    <col min="14" max="20" width="16.7109375" style="23" customWidth="1"/>
    <col min="21" max="22" width="16.7109375" style="27" customWidth="1"/>
    <col min="23" max="16384" width="9.140625" style="27"/>
  </cols>
  <sheetData>
    <row r="1" spans="1:22" s="25" customFormat="1" ht="12.75" x14ac:dyDescent="0.2">
      <c r="A1" s="1"/>
      <c r="B1" s="78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2" s="25" customFormat="1" x14ac:dyDescent="0.2">
      <c r="A2" s="1"/>
      <c r="B2" s="78"/>
      <c r="C2" s="23"/>
      <c r="D2" s="23"/>
      <c r="E2" s="23"/>
      <c r="F2" s="1"/>
      <c r="G2" s="1"/>
      <c r="H2" s="1"/>
      <c r="I2" s="1"/>
      <c r="J2" s="1"/>
      <c r="K2" s="1"/>
      <c r="L2" s="1"/>
      <c r="M2" s="23"/>
      <c r="N2" s="23"/>
      <c r="O2" s="23"/>
      <c r="P2" s="1"/>
      <c r="Q2" s="1"/>
      <c r="R2" s="1"/>
      <c r="S2" s="1"/>
      <c r="T2" s="1"/>
    </row>
    <row r="3" spans="1:22" s="25" customFormat="1" x14ac:dyDescent="0.2">
      <c r="A3" s="1"/>
      <c r="B3" s="78"/>
      <c r="C3" s="23"/>
      <c r="D3" s="23"/>
      <c r="E3" s="23"/>
      <c r="F3" s="1"/>
      <c r="G3" s="1"/>
      <c r="H3" s="1"/>
      <c r="I3" s="1"/>
      <c r="J3" s="1"/>
      <c r="K3" s="1"/>
      <c r="L3" s="1"/>
      <c r="M3" s="23"/>
      <c r="N3" s="23"/>
      <c r="O3" s="23"/>
      <c r="P3" s="1"/>
      <c r="Q3" s="1"/>
      <c r="R3" s="1"/>
      <c r="S3" s="1"/>
      <c r="T3" s="1"/>
    </row>
    <row r="4" spans="1:22" s="25" customFormat="1" x14ac:dyDescent="0.2">
      <c r="A4" s="1"/>
      <c r="B4" s="78"/>
      <c r="C4" s="23"/>
      <c r="D4" s="23"/>
      <c r="E4" s="23"/>
      <c r="F4" s="1"/>
      <c r="G4" s="1"/>
      <c r="H4" s="1"/>
      <c r="I4" s="1"/>
      <c r="J4" s="1"/>
      <c r="K4" s="1"/>
      <c r="L4" s="1"/>
      <c r="M4" s="23"/>
      <c r="N4" s="23"/>
      <c r="O4" s="23"/>
      <c r="P4" s="1"/>
      <c r="Q4" s="1"/>
      <c r="R4" s="1"/>
      <c r="S4" s="1"/>
      <c r="T4" s="1"/>
    </row>
    <row r="5" spans="1:22" s="25" customFormat="1" ht="12.75" x14ac:dyDescent="0.2">
      <c r="A5" s="1"/>
      <c r="B5" s="78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2" s="25" customFormat="1" ht="12.75" x14ac:dyDescent="0.2">
      <c r="A6" s="1"/>
      <c r="B6" s="78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2" s="25" customFormat="1" ht="15.75" customHeight="1" x14ac:dyDescent="0.2">
      <c r="A7" s="86" t="str">
        <f>VLOOKUP("&lt;Fachbereich&gt;",Uebersetzungen!$B$3:$E$247,Uebersetzungen!$B$2+1,FALSE)</f>
        <v>Daten &amp; Statistik</v>
      </c>
      <c r="B7" s="86"/>
      <c r="C7" s="86"/>
      <c r="D7" s="86"/>
      <c r="E7" s="30"/>
      <c r="F7" s="2"/>
      <c r="G7" s="2"/>
      <c r="H7" s="2"/>
      <c r="I7" s="2"/>
      <c r="J7" s="2"/>
      <c r="K7" s="31"/>
      <c r="L7" s="31"/>
      <c r="O7" s="30"/>
      <c r="P7" s="2"/>
      <c r="Q7" s="2"/>
      <c r="R7" s="2"/>
      <c r="S7" s="2"/>
      <c r="T7" s="2"/>
    </row>
    <row r="8" spans="1:22" s="25" customFormat="1" ht="12.75" x14ac:dyDescent="0.2">
      <c r="A8" s="1"/>
      <c r="B8" s="78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2" s="26" customFormat="1" ht="18" x14ac:dyDescent="0.2">
      <c r="A9" s="9" t="str">
        <f>VLOOKUP("&lt;T2Titel&gt;",Uebersetzungen!$B$3:$E$931,Uebersetzungen!$B$2+1,FALSE)</f>
        <v>Importe nach Graubünden seit 2016</v>
      </c>
      <c r="B9" s="79"/>
      <c r="C9" s="24"/>
      <c r="D9" s="24"/>
      <c r="E9" s="24"/>
      <c r="F9" s="24"/>
      <c r="G9" s="24"/>
      <c r="H9" s="24"/>
      <c r="I9" s="24"/>
      <c r="J9" s="24"/>
      <c r="K9" s="34"/>
      <c r="L9" s="34"/>
      <c r="M9" s="24"/>
      <c r="N9" s="24"/>
      <c r="O9" s="24"/>
      <c r="P9" s="24"/>
      <c r="Q9" s="24"/>
      <c r="R9" s="24"/>
      <c r="S9" s="24"/>
      <c r="T9" s="24"/>
    </row>
    <row r="10" spans="1:22" s="26" customFormat="1" ht="12.75" x14ac:dyDescent="0.2">
      <c r="A10" s="10"/>
      <c r="B10" s="80"/>
      <c r="C10" s="24"/>
      <c r="D10" s="24"/>
      <c r="E10" s="24"/>
      <c r="F10" s="24"/>
      <c r="G10" s="24"/>
      <c r="H10" s="24"/>
      <c r="I10" s="24"/>
      <c r="J10" s="24"/>
      <c r="K10" s="35"/>
      <c r="L10" s="35"/>
      <c r="M10" s="24"/>
      <c r="N10" s="24"/>
      <c r="O10" s="24"/>
      <c r="P10" s="24"/>
      <c r="Q10" s="24"/>
      <c r="R10" s="24"/>
      <c r="S10" s="24"/>
      <c r="T10" s="24"/>
    </row>
    <row r="11" spans="1:22" ht="18.75" thickBot="1" x14ac:dyDescent="0.3">
      <c r="C11" s="8"/>
      <c r="D11" s="4"/>
      <c r="E11" s="4"/>
      <c r="F11" s="4"/>
      <c r="G11" s="4"/>
      <c r="H11" s="4"/>
      <c r="I11" s="4"/>
      <c r="J11" s="4"/>
      <c r="M11" s="8"/>
      <c r="N11" s="4"/>
      <c r="O11" s="4"/>
      <c r="P11" s="4"/>
      <c r="Q11" s="4"/>
      <c r="R11" s="4"/>
      <c r="S11" s="4"/>
      <c r="T11" s="4"/>
    </row>
    <row r="12" spans="1:22" s="28" customFormat="1" ht="37.5" customHeight="1" thickBot="1" x14ac:dyDescent="0.3">
      <c r="A12" s="3"/>
      <c r="B12" s="82"/>
      <c r="C12" s="3"/>
      <c r="D12" s="88" t="str">
        <f>VLOOKUP("&lt;SpaltenTitel_1&gt;",Uebersetzungen!$B$3:$E$513,Uebersetzungen!$B$2+1,FALSE)</f>
        <v>Wert in Tausend Franken</v>
      </c>
      <c r="E12" s="89"/>
      <c r="F12" s="89"/>
      <c r="G12" s="89"/>
      <c r="H12" s="89"/>
      <c r="I12" s="89"/>
      <c r="J12" s="89"/>
      <c r="K12" s="89"/>
      <c r="L12" s="90"/>
      <c r="M12" s="3"/>
      <c r="N12" s="88" t="str">
        <f>VLOOKUP("&lt;SpaltenTitel_2&gt;",Uebersetzungen!$B$3:$E$513,Uebersetzungen!$B$2+1,FALSE)</f>
        <v>Veränderung gegenüber Vorjahr (in Prozent)</v>
      </c>
      <c r="O12" s="89"/>
      <c r="P12" s="89"/>
      <c r="Q12" s="89"/>
      <c r="R12" s="89"/>
      <c r="S12" s="89"/>
      <c r="T12" s="89"/>
      <c r="U12" s="89"/>
      <c r="V12" s="96"/>
    </row>
    <row r="13" spans="1:22" s="28" customFormat="1" ht="30" customHeight="1" thickBot="1" x14ac:dyDescent="0.3">
      <c r="A13" s="74" t="str">
        <f>VLOOKUP("&lt;Zeilentitel_1&gt;",Uebersetzungen!$B$3:$E$931,Uebersetzungen!$B$2+1,FALSE)</f>
        <v>CPA Code</v>
      </c>
      <c r="B13" s="72" t="str">
        <f>VLOOKUP("&lt;Zeilentitel_1.1&gt;",Uebersetzungen!$B$3:$E$931,Uebersetzungen!$B$2+1,FALSE)</f>
        <v xml:space="preserve">Statistische Güterklassifikation in Verbindung mit den Wirtschaftszweigen (CPA) </v>
      </c>
      <c r="C13" s="32"/>
      <c r="D13" s="38">
        <v>2016</v>
      </c>
      <c r="E13" s="40">
        <v>2017</v>
      </c>
      <c r="F13" s="87">
        <v>2018</v>
      </c>
      <c r="G13" s="41">
        <v>2019</v>
      </c>
      <c r="H13" s="41">
        <v>2020</v>
      </c>
      <c r="I13" s="41">
        <v>2021</v>
      </c>
      <c r="J13" s="41">
        <v>2022</v>
      </c>
      <c r="K13" s="40">
        <v>2023</v>
      </c>
      <c r="L13" s="39">
        <v>2024</v>
      </c>
      <c r="M13" s="32"/>
      <c r="N13" s="38">
        <v>2016</v>
      </c>
      <c r="O13" s="40">
        <v>2017</v>
      </c>
      <c r="P13" s="87">
        <v>2018</v>
      </c>
      <c r="Q13" s="41">
        <v>2019</v>
      </c>
      <c r="R13" s="41">
        <v>2020</v>
      </c>
      <c r="S13" s="41">
        <v>2021</v>
      </c>
      <c r="T13" s="41">
        <v>2022</v>
      </c>
      <c r="U13" s="40">
        <v>2023</v>
      </c>
      <c r="V13" s="95">
        <v>2024</v>
      </c>
    </row>
    <row r="14" spans="1:22" s="26" customFormat="1" x14ac:dyDescent="0.2">
      <c r="A14" s="75" t="str">
        <f>VLOOKUP("&lt;Zeilentitel_2&gt;",Uebersetzungen!$B$3:$E$931,Uebersetzungen!$B$2+1,FALSE)</f>
        <v>00</v>
      </c>
      <c r="B14" s="83" t="str">
        <f>VLOOKUP("&lt;Zeilentitel_2.1&gt;",Uebersetzungen!$B$3:$E$931,Uebersetzungen!$B$2+1,FALSE)</f>
        <v>TOTAL</v>
      </c>
      <c r="C14" s="33"/>
      <c r="D14" s="60">
        <v>2041581.90158017</v>
      </c>
      <c r="E14" s="61">
        <v>2171215.3632234801</v>
      </c>
      <c r="F14" s="61">
        <v>2387430.3523566099</v>
      </c>
      <c r="G14" s="61">
        <v>2177624.5257738098</v>
      </c>
      <c r="H14" s="61">
        <v>1975418.50347048</v>
      </c>
      <c r="I14" s="61">
        <v>2372458.5108421003</v>
      </c>
      <c r="J14" s="61">
        <v>2578815.2623182102</v>
      </c>
      <c r="K14" s="91">
        <v>2314880.5725536197</v>
      </c>
      <c r="L14" s="62">
        <v>2166895.8883063504</v>
      </c>
      <c r="M14" s="42"/>
      <c r="N14" s="48" t="s">
        <v>673</v>
      </c>
      <c r="O14" s="49">
        <v>6.3496576621772602</v>
      </c>
      <c r="P14" s="49">
        <v>9.9582470166443606</v>
      </c>
      <c r="Q14" s="49">
        <v>-8.7879349601004897</v>
      </c>
      <c r="R14" s="49">
        <v>-9.28562384883476</v>
      </c>
      <c r="S14" s="49">
        <v>20.0990325176199</v>
      </c>
      <c r="T14" s="49">
        <v>8.69801307517365</v>
      </c>
      <c r="U14" s="97">
        <v>-10.2347265281551</v>
      </c>
      <c r="V14" s="50">
        <v>-6.3927567582468203</v>
      </c>
    </row>
    <row r="15" spans="1:22" s="26" customFormat="1" x14ac:dyDescent="0.2">
      <c r="A15" s="77" t="str">
        <f>VLOOKUP("&lt;Zeilentitel_3&gt;",Uebersetzungen!$B$3:$E$931,Uebersetzungen!$B$2+1,FALSE)</f>
        <v>A</v>
      </c>
      <c r="B15" s="84" t="str">
        <f>VLOOKUP("&lt;Zeilentitel_3.1&gt;",Uebersetzungen!$B$3:$E$931,Uebersetzungen!$B$2+1,FALSE)</f>
        <v>ERZEUGNISSE DER LANDWIRTSCHAFT, FORSTWIRTSCHAFT UND FISCHEREI</v>
      </c>
      <c r="C15" s="32"/>
      <c r="D15" s="45">
        <v>108044.12861494</v>
      </c>
      <c r="E15" s="63">
        <v>114566.86827536199</v>
      </c>
      <c r="F15" s="63">
        <v>116887.052595416</v>
      </c>
      <c r="G15" s="63">
        <v>110579.70451032399</v>
      </c>
      <c r="H15" s="63">
        <v>104033.77619110601</v>
      </c>
      <c r="I15" s="63">
        <v>116084.103939918</v>
      </c>
      <c r="J15" s="63">
        <v>106025.420305672</v>
      </c>
      <c r="K15" s="92">
        <v>120440.829288262</v>
      </c>
      <c r="L15" s="64">
        <v>108609.699812198</v>
      </c>
      <c r="M15" s="43"/>
      <c r="N15" s="51" t="s">
        <v>673</v>
      </c>
      <c r="O15" s="52">
        <v>6.0371070080709899</v>
      </c>
      <c r="P15" s="52">
        <v>2.02517914208642</v>
      </c>
      <c r="Q15" s="52">
        <v>-5.3961049962678098</v>
      </c>
      <c r="R15" s="52">
        <v>-5.9196471433934503</v>
      </c>
      <c r="S15" s="52">
        <v>11.583091751544</v>
      </c>
      <c r="T15" s="52">
        <v>-8.6649965782153107</v>
      </c>
      <c r="U15" s="98">
        <v>13.5961818788646</v>
      </c>
      <c r="V15" s="53">
        <v>-9.8231883207538395</v>
      </c>
    </row>
    <row r="16" spans="1:22" s="26" customFormat="1" x14ac:dyDescent="0.2">
      <c r="A16" s="75" t="str">
        <f>VLOOKUP("&lt;Zeilentitel_4&gt;",Uebersetzungen!$B$3:$E$931,Uebersetzungen!$B$2+1,FALSE)</f>
        <v>A01</v>
      </c>
      <c r="B16" s="83" t="str">
        <f>VLOOKUP("&lt;Zeilentitel_4.1&gt;",Uebersetzungen!$B$3:$E$931,Uebersetzungen!$B$2+1,FALSE)</f>
        <v>Erzeugnisse der Landwirtschaft und Jagd sowie damit verbundene Dienstleistungen</v>
      </c>
      <c r="C16" s="32"/>
      <c r="D16" s="46">
        <v>106578.553968906</v>
      </c>
      <c r="E16" s="65">
        <v>112993.08773431601</v>
      </c>
      <c r="F16" s="65">
        <v>115337.61105993199</v>
      </c>
      <c r="G16" s="65">
        <v>108428.983704999</v>
      </c>
      <c r="H16" s="65">
        <v>102616.00222933</v>
      </c>
      <c r="I16" s="65">
        <v>114649.06732342301</v>
      </c>
      <c r="J16" s="65">
        <v>104148.07362257899</v>
      </c>
      <c r="K16" s="93">
        <v>118199.723125485</v>
      </c>
      <c r="L16" s="66">
        <v>106361.93529210401</v>
      </c>
      <c r="M16" s="44"/>
      <c r="N16" s="54" t="s">
        <v>673</v>
      </c>
      <c r="O16" s="55">
        <v>6.0185971065823098</v>
      </c>
      <c r="P16" s="55">
        <v>2.0749263274659402</v>
      </c>
      <c r="Q16" s="55">
        <v>-5.9899171583697504</v>
      </c>
      <c r="R16" s="55">
        <v>-5.3610956010470296</v>
      </c>
      <c r="S16" s="55">
        <v>11.726304701678499</v>
      </c>
      <c r="T16" s="55">
        <v>-9.1592491295375797</v>
      </c>
      <c r="U16" s="99">
        <v>13.491991751885701</v>
      </c>
      <c r="V16" s="56">
        <v>-10.0150723879566</v>
      </c>
    </row>
    <row r="17" spans="1:22" s="26" customFormat="1" x14ac:dyDescent="0.2">
      <c r="A17" s="75" t="str">
        <f>VLOOKUP("&lt;Zeilentitel_5&gt;",Uebersetzungen!$B$3:$E$931,Uebersetzungen!$B$2+1,FALSE)</f>
        <v>A02</v>
      </c>
      <c r="B17" s="83" t="str">
        <f>VLOOKUP("&lt;Zeilentitel_5.1&gt;",Uebersetzungen!$B$3:$E$931,Uebersetzungen!$B$2+1,FALSE)</f>
        <v>Forstwirtschaftliche Erzeugnisse und Dienstleistungen</v>
      </c>
      <c r="C17" s="32"/>
      <c r="D17" s="46">
        <v>768.03963877087097</v>
      </c>
      <c r="E17" s="65">
        <v>949.83405690637892</v>
      </c>
      <c r="F17" s="65">
        <v>915.06786794150298</v>
      </c>
      <c r="G17" s="65">
        <v>887.14883361403099</v>
      </c>
      <c r="H17" s="65">
        <v>877.02106892669599</v>
      </c>
      <c r="I17" s="65">
        <v>981.42838142597304</v>
      </c>
      <c r="J17" s="65">
        <v>1421.9427436400701</v>
      </c>
      <c r="K17" s="93">
        <v>1511.77234517272</v>
      </c>
      <c r="L17" s="66">
        <v>1497.8627762147501</v>
      </c>
      <c r="M17" s="44"/>
      <c r="N17" s="54" t="s">
        <v>673</v>
      </c>
      <c r="O17" s="55">
        <v>23.669926519214702</v>
      </c>
      <c r="P17" s="55">
        <v>-3.6602381976183902</v>
      </c>
      <c r="Q17" s="55">
        <v>-3.0510342790505298</v>
      </c>
      <c r="R17" s="55">
        <v>-1.14160829655567</v>
      </c>
      <c r="S17" s="55">
        <v>11.90476673805</v>
      </c>
      <c r="T17" s="55">
        <v>44.885023762411699</v>
      </c>
      <c r="U17" s="99">
        <v>6.3173852768983698</v>
      </c>
      <c r="V17" s="56">
        <v>-0.92008356961788695</v>
      </c>
    </row>
    <row r="18" spans="1:22" s="26" customFormat="1" x14ac:dyDescent="0.2">
      <c r="A18" s="75" t="str">
        <f>VLOOKUP("&lt;Zeilentitel_6&gt;",Uebersetzungen!$B$3:$E$931,Uebersetzungen!$B$2+1,FALSE)</f>
        <v>A03</v>
      </c>
      <c r="B18" s="83" t="str">
        <f>VLOOKUP("&lt;Zeilentitel_6.1&gt;",Uebersetzungen!$B$3:$E$931,Uebersetzungen!$B$2+1,FALSE)</f>
        <v>Fische und Fischereierzeugnisse; Aquakulturerzeugnisse; Dienstleistungen für die Fischerei</v>
      </c>
      <c r="C18" s="32"/>
      <c r="D18" s="46">
        <v>697.53500726340201</v>
      </c>
      <c r="E18" s="65">
        <v>623.94648413982895</v>
      </c>
      <c r="F18" s="65">
        <v>634.37366754252798</v>
      </c>
      <c r="G18" s="65">
        <v>1263.5719717115298</v>
      </c>
      <c r="H18" s="65">
        <v>540.75289284899009</v>
      </c>
      <c r="I18" s="65">
        <v>453.60823506922401</v>
      </c>
      <c r="J18" s="65">
        <v>455.40393945279601</v>
      </c>
      <c r="K18" s="93">
        <v>729.33381760326404</v>
      </c>
      <c r="L18" s="66">
        <v>749.90174387954801</v>
      </c>
      <c r="M18" s="44"/>
      <c r="N18" s="54" t="s">
        <v>673</v>
      </c>
      <c r="O18" s="55">
        <v>-10.5497964055279</v>
      </c>
      <c r="P18" s="55">
        <v>1.67116630476311</v>
      </c>
      <c r="Q18" s="55">
        <v>99.184177459072203</v>
      </c>
      <c r="R18" s="55">
        <v>-57.204424840436303</v>
      </c>
      <c r="S18" s="55">
        <v>-16.115430713766301</v>
      </c>
      <c r="T18" s="55">
        <v>0.39587120443222001</v>
      </c>
      <c r="U18" s="99">
        <v>60.150968056977298</v>
      </c>
      <c r="V18" s="56">
        <v>2.8200977083271601</v>
      </c>
    </row>
    <row r="19" spans="1:22" s="26" customFormat="1" x14ac:dyDescent="0.2">
      <c r="A19" s="77" t="str">
        <f>VLOOKUP("&lt;Zeilentitel_7&gt;",Uebersetzungen!$B$3:$E$931,Uebersetzungen!$B$2+1,FALSE)</f>
        <v>B</v>
      </c>
      <c r="B19" s="84" t="str">
        <f>VLOOKUP("&lt;Zeilentitel_7.1&gt;",Uebersetzungen!$B$3:$E$931,Uebersetzungen!$B$2+1,FALSE)</f>
        <v>BERGBAUERZEUGNISSE; STEINE UND ERDEN</v>
      </c>
      <c r="C19" s="32"/>
      <c r="D19" s="45">
        <v>8559.6602198129895</v>
      </c>
      <c r="E19" s="63">
        <v>12907.1665708042</v>
      </c>
      <c r="F19" s="63">
        <v>14213.380003963201</v>
      </c>
      <c r="G19" s="63">
        <v>12992.579235934001</v>
      </c>
      <c r="H19" s="63">
        <v>11595.795751367399</v>
      </c>
      <c r="I19" s="63">
        <v>18223.748370974201</v>
      </c>
      <c r="J19" s="63">
        <v>44901.681857115997</v>
      </c>
      <c r="K19" s="92">
        <v>25205.689675152902</v>
      </c>
      <c r="L19" s="64">
        <v>16932.746131540702</v>
      </c>
      <c r="M19" s="43"/>
      <c r="N19" s="51" t="s">
        <v>673</v>
      </c>
      <c r="O19" s="52">
        <v>50.790641676735099</v>
      </c>
      <c r="P19" s="52">
        <v>10.120063346153501</v>
      </c>
      <c r="Q19" s="52">
        <v>-8.5890953994672703</v>
      </c>
      <c r="R19" s="52">
        <v>-10.7506251006998</v>
      </c>
      <c r="S19" s="52">
        <v>57.158238742047899</v>
      </c>
      <c r="T19" s="52">
        <v>146.39103297010499</v>
      </c>
      <c r="U19" s="98">
        <v>-43.864709221001398</v>
      </c>
      <c r="V19" s="53">
        <v>-32.821730530815202</v>
      </c>
    </row>
    <row r="20" spans="1:22" s="26" customFormat="1" x14ac:dyDescent="0.2">
      <c r="A20" s="75" t="str">
        <f>VLOOKUP("&lt;Zeilentitel_8&gt;",Uebersetzungen!$B$3:$E$931,Uebersetzungen!$B$2+1,FALSE)</f>
        <v>B05</v>
      </c>
      <c r="B20" s="83" t="str">
        <f>VLOOKUP("&lt;Zeilentitel_8.1&gt;",Uebersetzungen!$B$3:$E$931,Uebersetzungen!$B$2+1,FALSE)</f>
        <v>Kohle</v>
      </c>
      <c r="C20" s="32"/>
      <c r="D20" s="46">
        <v>1767.06302709285</v>
      </c>
      <c r="E20" s="65">
        <v>1975.00987074164</v>
      </c>
      <c r="F20" s="65">
        <v>2333.2947958620102</v>
      </c>
      <c r="G20" s="65">
        <v>1581.1529736365999</v>
      </c>
      <c r="H20" s="65">
        <v>1340.8047549484299</v>
      </c>
      <c r="I20" s="65">
        <v>2482.0742289118703</v>
      </c>
      <c r="J20" s="65">
        <v>5445.0105254195696</v>
      </c>
      <c r="K20" s="93">
        <v>2439.6538899864599</v>
      </c>
      <c r="L20" s="66">
        <v>1956.6664710289201</v>
      </c>
      <c r="M20" s="44"/>
      <c r="N20" s="54" t="s">
        <v>673</v>
      </c>
      <c r="O20" s="55">
        <v>11.7679358608338</v>
      </c>
      <c r="P20" s="55">
        <v>18.140918201377101</v>
      </c>
      <c r="Q20" s="55">
        <v>-32.2351819221171</v>
      </c>
      <c r="R20" s="55">
        <v>-15.200820078488499</v>
      </c>
      <c r="S20" s="55">
        <v>85.118244826580593</v>
      </c>
      <c r="T20" s="55">
        <v>119.37339592807599</v>
      </c>
      <c r="U20" s="99">
        <v>-55.194689182010897</v>
      </c>
      <c r="V20" s="56">
        <v>-19.797374575957502</v>
      </c>
    </row>
    <row r="21" spans="1:22" s="26" customFormat="1" x14ac:dyDescent="0.2">
      <c r="A21" s="75" t="str">
        <f>VLOOKUP("&lt;Zeilentitel_9&gt;",Uebersetzungen!$B$3:$E$931,Uebersetzungen!$B$2+1,FALSE)</f>
        <v>B06</v>
      </c>
      <c r="B21" s="83" t="str">
        <f>VLOOKUP("&lt;Zeilentitel_9.1&gt;",Uebersetzungen!$B$3:$E$931,Uebersetzungen!$B$2+1,FALSE)</f>
        <v>Erdöl und Erdgas</v>
      </c>
      <c r="C21" s="32"/>
      <c r="D21" s="46">
        <v>1114.61323727068</v>
      </c>
      <c r="E21" s="65">
        <v>5250.7249258640104</v>
      </c>
      <c r="F21" s="65">
        <v>5592.8450000000003</v>
      </c>
      <c r="G21" s="65">
        <v>6170.7223408425198</v>
      </c>
      <c r="H21" s="65">
        <v>5287.6893145644008</v>
      </c>
      <c r="I21" s="65">
        <v>10364.08</v>
      </c>
      <c r="J21" s="65">
        <v>34742.358166743194</v>
      </c>
      <c r="K21" s="93">
        <v>17121.223000000002</v>
      </c>
      <c r="L21" s="66">
        <v>9417.4120000000003</v>
      </c>
      <c r="M21" s="44"/>
      <c r="N21" s="54" t="s">
        <v>673</v>
      </c>
      <c r="O21" s="55">
        <v>371.080438513481</v>
      </c>
      <c r="P21" s="55">
        <v>6.51567314925944</v>
      </c>
      <c r="Q21" s="55">
        <v>10.3324397662106</v>
      </c>
      <c r="R21" s="55">
        <v>-14.3100430954986</v>
      </c>
      <c r="S21" s="55">
        <v>96.003951507763603</v>
      </c>
      <c r="T21" s="55">
        <v>235.218930833641</v>
      </c>
      <c r="U21" s="99">
        <v>-50.719456296466497</v>
      </c>
      <c r="V21" s="56">
        <v>-44.995681675310202</v>
      </c>
    </row>
    <row r="22" spans="1:22" s="26" customFormat="1" x14ac:dyDescent="0.2">
      <c r="A22" s="75" t="str">
        <f>VLOOKUP("&lt;Zeilentitel_10&gt;",Uebersetzungen!$B$3:$E$931,Uebersetzungen!$B$2+1,FALSE)</f>
        <v>B07</v>
      </c>
      <c r="B22" s="83" t="str">
        <f>VLOOKUP("&lt;Zeilentitel_10.1&gt;",Uebersetzungen!$B$3:$E$931,Uebersetzungen!$B$2+1,FALSE)</f>
        <v>Erze</v>
      </c>
      <c r="C22" s="32"/>
      <c r="D22" s="46">
        <v>86.649056476805796</v>
      </c>
      <c r="E22" s="65">
        <v>114.94095568280301</v>
      </c>
      <c r="F22" s="65">
        <v>45.996511335114</v>
      </c>
      <c r="G22" s="65">
        <v>22.515709735106299</v>
      </c>
      <c r="H22" s="65">
        <v>124.57166675393501</v>
      </c>
      <c r="I22" s="65">
        <v>110.56098758981101</v>
      </c>
      <c r="J22" s="65">
        <v>120.352486451085</v>
      </c>
      <c r="K22" s="93">
        <v>264.47962034529002</v>
      </c>
      <c r="L22" s="66">
        <v>367.17001969344096</v>
      </c>
      <c r="M22" s="44"/>
      <c r="N22" s="54" t="s">
        <v>673</v>
      </c>
      <c r="O22" s="55">
        <v>32.651133614559903</v>
      </c>
      <c r="P22" s="55">
        <v>-59.982487476397601</v>
      </c>
      <c r="Q22" s="55">
        <v>-51.049092460371703</v>
      </c>
      <c r="R22" s="55">
        <v>453.26555644703501</v>
      </c>
      <c r="S22" s="55">
        <v>-11.2470833289883</v>
      </c>
      <c r="T22" s="55">
        <v>8.8561969956359192</v>
      </c>
      <c r="U22" s="99">
        <v>119.754180527698</v>
      </c>
      <c r="V22" s="56">
        <v>38.827339215809701</v>
      </c>
    </row>
    <row r="23" spans="1:22" s="26" customFormat="1" x14ac:dyDescent="0.2">
      <c r="A23" s="75" t="str">
        <f>VLOOKUP("&lt;Zeilentitel_11&gt;",Uebersetzungen!$B$3:$E$931,Uebersetzungen!$B$2+1,FALSE)</f>
        <v>B08</v>
      </c>
      <c r="B23" s="83" t="str">
        <f>VLOOKUP("&lt;Zeilentitel_11.1&gt;",Uebersetzungen!$B$3:$E$931,Uebersetzungen!$B$2+1,FALSE)</f>
        <v>Steine und Erden; sonstige Bergbauerzeugnisse</v>
      </c>
      <c r="C23" s="32"/>
      <c r="D23" s="46">
        <v>5591.3348989726601</v>
      </c>
      <c r="E23" s="65">
        <v>5566.4908185157801</v>
      </c>
      <c r="F23" s="65">
        <v>6241.2436967660597</v>
      </c>
      <c r="G23" s="65">
        <v>5218.1882117197702</v>
      </c>
      <c r="H23" s="65">
        <v>4842.7300151006002</v>
      </c>
      <c r="I23" s="65">
        <v>5267.0331544724895</v>
      </c>
      <c r="J23" s="65">
        <v>4593.9606785022006</v>
      </c>
      <c r="K23" s="93">
        <v>5380.3331648211897</v>
      </c>
      <c r="L23" s="66">
        <v>5191.4976408183693</v>
      </c>
      <c r="M23" s="44"/>
      <c r="N23" s="54" t="s">
        <v>673</v>
      </c>
      <c r="O23" s="55">
        <v>-0.44433182604476801</v>
      </c>
      <c r="P23" s="55">
        <v>12.1216921081745</v>
      </c>
      <c r="Q23" s="55">
        <v>-16.3918528862507</v>
      </c>
      <c r="R23" s="55">
        <v>-7.1951831054294901</v>
      </c>
      <c r="S23" s="55">
        <v>8.7616517552873798</v>
      </c>
      <c r="T23" s="55">
        <v>-12.778967897681699</v>
      </c>
      <c r="U23" s="99">
        <v>17.117527583526901</v>
      </c>
      <c r="V23" s="56">
        <v>-3.50973663187817</v>
      </c>
    </row>
    <row r="24" spans="1:22" s="26" customFormat="1" x14ac:dyDescent="0.2">
      <c r="A24" s="75" t="str">
        <f>VLOOKUP("&lt;Zeilentitel_12&gt;",Uebersetzungen!$B$3:$E$931,Uebersetzungen!$B$2+1,FALSE)</f>
        <v>B09</v>
      </c>
      <c r="B24" s="83" t="str">
        <f>VLOOKUP("&lt;Zeilentitel_12.1&gt;",Uebersetzungen!$B$3:$E$931,Uebersetzungen!$B$2+1,FALSE)</f>
        <v>Dienstleistungen für den Bergbau und für die Gewinnung von Steinen und Erden</v>
      </c>
      <c r="C24" s="32"/>
      <c r="D24" s="46" t="s">
        <v>673</v>
      </c>
      <c r="E24" s="65" t="s">
        <v>673</v>
      </c>
      <c r="F24" s="65" t="s">
        <v>673</v>
      </c>
      <c r="G24" s="65" t="s">
        <v>673</v>
      </c>
      <c r="H24" s="65" t="s">
        <v>673</v>
      </c>
      <c r="I24" s="65" t="s">
        <v>673</v>
      </c>
      <c r="J24" s="65" t="s">
        <v>673</v>
      </c>
      <c r="K24" s="93" t="s">
        <v>673</v>
      </c>
      <c r="L24" s="66" t="s">
        <v>673</v>
      </c>
      <c r="M24" s="44"/>
      <c r="N24" s="54" t="s">
        <v>673</v>
      </c>
      <c r="O24" s="55" t="s">
        <v>673</v>
      </c>
      <c r="P24" s="55" t="s">
        <v>673</v>
      </c>
      <c r="Q24" s="55" t="s">
        <v>673</v>
      </c>
      <c r="R24" s="55" t="s">
        <v>673</v>
      </c>
      <c r="S24" s="55" t="s">
        <v>673</v>
      </c>
      <c r="T24" s="55" t="s">
        <v>673</v>
      </c>
      <c r="U24" s="99" t="s">
        <v>673</v>
      </c>
      <c r="V24" s="56" t="s">
        <v>673</v>
      </c>
    </row>
    <row r="25" spans="1:22" s="26" customFormat="1" x14ac:dyDescent="0.2">
      <c r="A25" s="77" t="str">
        <f>VLOOKUP("&lt;Zeilentitel_13&gt;",Uebersetzungen!$B$3:$E$931,Uebersetzungen!$B$2+1,FALSE)</f>
        <v>C</v>
      </c>
      <c r="B25" s="84" t="str">
        <f>VLOOKUP("&lt;Zeilentitel_13.1&gt;",Uebersetzungen!$B$3:$E$931,Uebersetzungen!$B$2+1,FALSE)</f>
        <v>HERGESTELLTE WAREN</v>
      </c>
      <c r="C25" s="32"/>
      <c r="D25" s="45">
        <v>1848984.16396514</v>
      </c>
      <c r="E25" s="63">
        <v>1999872.4622336901</v>
      </c>
      <c r="F25" s="63">
        <v>2190591.6491165399</v>
      </c>
      <c r="G25" s="63">
        <v>1994948.7224242499</v>
      </c>
      <c r="H25" s="63">
        <v>1817383.72881237</v>
      </c>
      <c r="I25" s="63">
        <v>2120394.0730738998</v>
      </c>
      <c r="J25" s="63">
        <v>2333363.4957493199</v>
      </c>
      <c r="K25" s="92">
        <v>2081841.5464138601</v>
      </c>
      <c r="L25" s="64">
        <v>1973922.1825812198</v>
      </c>
      <c r="M25" s="43"/>
      <c r="N25" s="51" t="s">
        <v>673</v>
      </c>
      <c r="O25" s="52">
        <v>8.1606052236258009</v>
      </c>
      <c r="P25" s="52">
        <v>9.5365674803995208</v>
      </c>
      <c r="Q25" s="52">
        <v>-8.9310541638915009</v>
      </c>
      <c r="R25" s="52">
        <v>-8.9007297087871002</v>
      </c>
      <c r="S25" s="52">
        <v>16.672887484226599</v>
      </c>
      <c r="T25" s="52">
        <v>10.043860496491799</v>
      </c>
      <c r="U25" s="98">
        <v>-10.7793727721232</v>
      </c>
      <c r="V25" s="53">
        <v>-5.1838413936228998</v>
      </c>
    </row>
    <row r="26" spans="1:22" s="26" customFormat="1" x14ac:dyDescent="0.2">
      <c r="A26" s="75" t="str">
        <f>VLOOKUP("&lt;Zeilentitel_14&gt;",Uebersetzungen!$B$3:$E$931,Uebersetzungen!$B$2+1,FALSE)</f>
        <v>C10</v>
      </c>
      <c r="B26" s="83" t="str">
        <f>VLOOKUP("&lt;Zeilentitel_14.1&gt;",Uebersetzungen!$B$3:$E$931,Uebersetzungen!$B$2+1,FALSE)</f>
        <v>Nahrungs- und Futtermittel</v>
      </c>
      <c r="C26" s="32"/>
      <c r="D26" s="46">
        <v>77897.978359925401</v>
      </c>
      <c r="E26" s="65">
        <v>76378.594797779311</v>
      </c>
      <c r="F26" s="65">
        <v>95027.813574329703</v>
      </c>
      <c r="G26" s="65">
        <v>91222.563756278803</v>
      </c>
      <c r="H26" s="65">
        <v>99751.724970422889</v>
      </c>
      <c r="I26" s="65">
        <v>94005.2051129951</v>
      </c>
      <c r="J26" s="65">
        <v>91771.896448711399</v>
      </c>
      <c r="K26" s="93">
        <v>92521.152133746407</v>
      </c>
      <c r="L26" s="66">
        <v>97157.788427557796</v>
      </c>
      <c r="M26" s="44"/>
      <c r="N26" s="54" t="s">
        <v>673</v>
      </c>
      <c r="O26" s="55">
        <v>-1.9504788110493001</v>
      </c>
      <c r="P26" s="55">
        <v>24.416813147618399</v>
      </c>
      <c r="Q26" s="55">
        <v>-4.0043537517302097</v>
      </c>
      <c r="R26" s="55">
        <v>9.3498372145423101</v>
      </c>
      <c r="S26" s="55">
        <v>-5.7608225412961396</v>
      </c>
      <c r="T26" s="55">
        <v>-2.3757287286371702</v>
      </c>
      <c r="U26" s="99">
        <v>0.81643260521893202</v>
      </c>
      <c r="V26" s="56">
        <v>5.0114338039249002</v>
      </c>
    </row>
    <row r="27" spans="1:22" s="26" customFormat="1" x14ac:dyDescent="0.2">
      <c r="A27" s="75" t="str">
        <f>VLOOKUP("&lt;Zeilentitel_15&gt;",Uebersetzungen!$B$3:$E$931,Uebersetzungen!$B$2+1,FALSE)</f>
        <v>C11</v>
      </c>
      <c r="B27" s="83" t="str">
        <f>VLOOKUP("&lt;Zeilentitel_15.1&gt;",Uebersetzungen!$B$3:$E$931,Uebersetzungen!$B$2+1,FALSE)</f>
        <v>Getränke</v>
      </c>
      <c r="C27" s="32"/>
      <c r="D27" s="46">
        <v>47169.159069945003</v>
      </c>
      <c r="E27" s="65">
        <v>46186.200514896998</v>
      </c>
      <c r="F27" s="65">
        <v>41808.162194100099</v>
      </c>
      <c r="G27" s="65">
        <v>41728.556728428201</v>
      </c>
      <c r="H27" s="65">
        <v>41174.723855130098</v>
      </c>
      <c r="I27" s="65">
        <v>43933.3882760368</v>
      </c>
      <c r="J27" s="65">
        <v>44698.115522904096</v>
      </c>
      <c r="K27" s="93">
        <v>42367.257603739301</v>
      </c>
      <c r="L27" s="66">
        <v>41204.890385868697</v>
      </c>
      <c r="M27" s="44"/>
      <c r="N27" s="54" t="s">
        <v>673</v>
      </c>
      <c r="O27" s="55">
        <v>-2.0839009522946301</v>
      </c>
      <c r="P27" s="55">
        <v>-9.4791047368895693</v>
      </c>
      <c r="Q27" s="55">
        <v>-0.19040651751770901</v>
      </c>
      <c r="R27" s="55">
        <v>-1.32722748333353</v>
      </c>
      <c r="S27" s="55">
        <v>6.6998978077250504</v>
      </c>
      <c r="T27" s="55">
        <v>1.7406516475862901</v>
      </c>
      <c r="U27" s="99">
        <v>-5.2146670880797403</v>
      </c>
      <c r="V27" s="56">
        <v>-2.74355075974528</v>
      </c>
    </row>
    <row r="28" spans="1:22" s="26" customFormat="1" x14ac:dyDescent="0.2">
      <c r="A28" s="75" t="str">
        <f>VLOOKUP("&lt;Zeilentitel_16&gt;",Uebersetzungen!$B$3:$E$931,Uebersetzungen!$B$2+1,FALSE)</f>
        <v>C12</v>
      </c>
      <c r="B28" s="83" t="str">
        <f>VLOOKUP("&lt;Zeilentitel_16.1&gt;",Uebersetzungen!$B$3:$E$931,Uebersetzungen!$B$2+1,FALSE)</f>
        <v>Tabakerzeugnisse</v>
      </c>
      <c r="C28" s="32"/>
      <c r="D28" s="46">
        <v>131.103386670692</v>
      </c>
      <c r="E28" s="65">
        <v>124.285519510074</v>
      </c>
      <c r="F28" s="65">
        <v>143.428921166995</v>
      </c>
      <c r="G28" s="65">
        <v>148.61991508677801</v>
      </c>
      <c r="H28" s="65">
        <v>160.204714762452</v>
      </c>
      <c r="I28" s="65">
        <v>148.97000081518001</v>
      </c>
      <c r="J28" s="65">
        <v>216.66994999678101</v>
      </c>
      <c r="K28" s="93">
        <v>177.46528385119601</v>
      </c>
      <c r="L28" s="66">
        <v>156.36181308482898</v>
      </c>
      <c r="M28" s="44"/>
      <c r="N28" s="54" t="s">
        <v>673</v>
      </c>
      <c r="O28" s="55">
        <v>-5.2003745545820497</v>
      </c>
      <c r="P28" s="55">
        <v>15.4027611039346</v>
      </c>
      <c r="Q28" s="55">
        <v>3.6192100432377901</v>
      </c>
      <c r="R28" s="55">
        <v>7.79491743681172</v>
      </c>
      <c r="S28" s="55">
        <v>-7.0127236666728701</v>
      </c>
      <c r="T28" s="55">
        <v>45.445357327743501</v>
      </c>
      <c r="U28" s="99">
        <v>-18.094187101703302</v>
      </c>
      <c r="V28" s="56">
        <v>-11.891605111939899</v>
      </c>
    </row>
    <row r="29" spans="1:22" s="26" customFormat="1" x14ac:dyDescent="0.2">
      <c r="A29" s="75" t="str">
        <f>VLOOKUP("&lt;Zeilentitel_17&gt;",Uebersetzungen!$B$3:$E$931,Uebersetzungen!$B$2+1,FALSE)</f>
        <v>C13</v>
      </c>
      <c r="B29" s="83" t="str">
        <f>VLOOKUP("&lt;Zeilentitel_17.1&gt;",Uebersetzungen!$B$3:$E$931,Uebersetzungen!$B$2+1,FALSE)</f>
        <v>Textilien</v>
      </c>
      <c r="C29" s="32"/>
      <c r="D29" s="46">
        <v>32720.356423982699</v>
      </c>
      <c r="E29" s="65">
        <v>27429.854108884498</v>
      </c>
      <c r="F29" s="65">
        <v>26275.887031297098</v>
      </c>
      <c r="G29" s="65">
        <v>24928.749606047299</v>
      </c>
      <c r="H29" s="65">
        <v>31298.370648477201</v>
      </c>
      <c r="I29" s="65">
        <v>29277.568763474301</v>
      </c>
      <c r="J29" s="65">
        <v>31861.232017958399</v>
      </c>
      <c r="K29" s="93">
        <v>28228.738411950701</v>
      </c>
      <c r="L29" s="66">
        <v>27029.622750529801</v>
      </c>
      <c r="M29" s="44"/>
      <c r="N29" s="54" t="s">
        <v>673</v>
      </c>
      <c r="O29" s="55">
        <v>-16.1688407257707</v>
      </c>
      <c r="P29" s="55">
        <v>-4.2069749004376904</v>
      </c>
      <c r="Q29" s="55">
        <v>-5.1268960916339097</v>
      </c>
      <c r="R29" s="55">
        <v>25.5513057938721</v>
      </c>
      <c r="S29" s="55">
        <v>-6.4565721573789903</v>
      </c>
      <c r="T29" s="55">
        <v>8.8247192769207405</v>
      </c>
      <c r="U29" s="99">
        <v>-11.400982874611699</v>
      </c>
      <c r="V29" s="56">
        <v>-4.2478542396115797</v>
      </c>
    </row>
    <row r="30" spans="1:22" s="26" customFormat="1" x14ac:dyDescent="0.2">
      <c r="A30" s="75" t="str">
        <f>VLOOKUP("&lt;Zeilentitel_18&gt;",Uebersetzungen!$B$3:$E$931,Uebersetzungen!$B$2+1,FALSE)</f>
        <v>C14</v>
      </c>
      <c r="B30" s="83" t="str">
        <f>VLOOKUP("&lt;Zeilentitel_18.1&gt;",Uebersetzungen!$B$3:$E$931,Uebersetzungen!$B$2+1,FALSE)</f>
        <v>Bekleidung</v>
      </c>
      <c r="C30" s="32"/>
      <c r="D30" s="46">
        <v>83300.010150171103</v>
      </c>
      <c r="E30" s="65">
        <v>85099.888749121994</v>
      </c>
      <c r="F30" s="65">
        <v>86909.086990932497</v>
      </c>
      <c r="G30" s="65">
        <v>81088.741925600494</v>
      </c>
      <c r="H30" s="65">
        <v>72609.17060196941</v>
      </c>
      <c r="I30" s="65">
        <v>90646.691637034703</v>
      </c>
      <c r="J30" s="65">
        <v>110046.71503696599</v>
      </c>
      <c r="K30" s="93">
        <v>113387.884415548</v>
      </c>
      <c r="L30" s="66">
        <v>115418.86843936899</v>
      </c>
      <c r="M30" s="44"/>
      <c r="N30" s="54" t="s">
        <v>673</v>
      </c>
      <c r="O30" s="55">
        <v>2.1607183428983698</v>
      </c>
      <c r="P30" s="55">
        <v>2.1259701609529298</v>
      </c>
      <c r="Q30" s="55">
        <v>-6.6970500632911198</v>
      </c>
      <c r="R30" s="55">
        <v>-10.457149935081199</v>
      </c>
      <c r="S30" s="55">
        <v>24.841932342050601</v>
      </c>
      <c r="T30" s="55">
        <v>21.401799723272902</v>
      </c>
      <c r="U30" s="99">
        <v>3.0361373144672301</v>
      </c>
      <c r="V30" s="56">
        <v>1.7911825714798599</v>
      </c>
    </row>
    <row r="31" spans="1:22" s="26" customFormat="1" x14ac:dyDescent="0.2">
      <c r="A31" s="75" t="str">
        <f>VLOOKUP("&lt;Zeilentitel_19&gt;",Uebersetzungen!$B$3:$E$931,Uebersetzungen!$B$2+1,FALSE)</f>
        <v>C15</v>
      </c>
      <c r="B31" s="83" t="str">
        <f>VLOOKUP("&lt;Zeilentitel_19.1&gt;",Uebersetzungen!$B$3:$E$931,Uebersetzungen!$B$2+1,FALSE)</f>
        <v>Leder und Lederwaren</v>
      </c>
      <c r="C31" s="32"/>
      <c r="D31" s="46">
        <v>37080.883531947395</v>
      </c>
      <c r="E31" s="65">
        <v>36826.398853459301</v>
      </c>
      <c r="F31" s="65">
        <v>41739.139337484703</v>
      </c>
      <c r="G31" s="65">
        <v>34543.0395701542</v>
      </c>
      <c r="H31" s="65">
        <v>28331.4270969637</v>
      </c>
      <c r="I31" s="65">
        <v>36261.763847145805</v>
      </c>
      <c r="J31" s="65">
        <v>41909.1920188683</v>
      </c>
      <c r="K31" s="93">
        <v>40863.408210039597</v>
      </c>
      <c r="L31" s="66">
        <v>39960.005714498402</v>
      </c>
      <c r="M31" s="44"/>
      <c r="N31" s="54" t="s">
        <v>673</v>
      </c>
      <c r="O31" s="55">
        <v>-0.68629615653255605</v>
      </c>
      <c r="P31" s="55">
        <v>13.3402684948217</v>
      </c>
      <c r="Q31" s="55">
        <v>-17.240652015236702</v>
      </c>
      <c r="R31" s="55">
        <v>-17.982240562748501</v>
      </c>
      <c r="S31" s="55">
        <v>27.991307049379099</v>
      </c>
      <c r="T31" s="55">
        <v>15.574058105744999</v>
      </c>
      <c r="U31" s="99">
        <v>-2.4953566471954298</v>
      </c>
      <c r="V31" s="56">
        <v>-2.2107859699261598</v>
      </c>
    </row>
    <row r="32" spans="1:22" s="26" customFormat="1" x14ac:dyDescent="0.2">
      <c r="A32" s="75" t="str">
        <f>VLOOKUP("&lt;Zeilentitel_20&gt;",Uebersetzungen!$B$3:$E$931,Uebersetzungen!$B$2+1,FALSE)</f>
        <v>C16</v>
      </c>
      <c r="B32" s="83" t="str">
        <f>VLOOKUP("&lt;Zeilentitel_20.1&gt;",Uebersetzungen!$B$3:$E$931,Uebersetzungen!$B$2+1,FALSE)</f>
        <v>Holz sowie Holz- und Korkwaren (ohne Möbel); Flecht- und Korbwaren</v>
      </c>
      <c r="C32" s="32"/>
      <c r="D32" s="46">
        <v>50389.411102538601</v>
      </c>
      <c r="E32" s="65">
        <v>54507.191722303804</v>
      </c>
      <c r="F32" s="65">
        <v>59683.231305547102</v>
      </c>
      <c r="G32" s="65">
        <v>52315.085239269101</v>
      </c>
      <c r="H32" s="65">
        <v>52701.123374149596</v>
      </c>
      <c r="I32" s="65">
        <v>69650.542375775098</v>
      </c>
      <c r="J32" s="65">
        <v>71679.400941403102</v>
      </c>
      <c r="K32" s="93">
        <v>61144.918371858403</v>
      </c>
      <c r="L32" s="66">
        <v>56610.919712867399</v>
      </c>
      <c r="M32" s="44"/>
      <c r="N32" s="54" t="s">
        <v>673</v>
      </c>
      <c r="O32" s="55">
        <v>8.1719165389447408</v>
      </c>
      <c r="P32" s="55">
        <v>9.4960672522141607</v>
      </c>
      <c r="Q32" s="55">
        <v>-12.345420824413701</v>
      </c>
      <c r="R32" s="55">
        <v>0.73790978857232103</v>
      </c>
      <c r="S32" s="55">
        <v>32.1613998268949</v>
      </c>
      <c r="T32" s="55">
        <v>2.9129113664069202</v>
      </c>
      <c r="U32" s="99">
        <v>-14.696666589270899</v>
      </c>
      <c r="V32" s="56">
        <v>-7.4151683896559701</v>
      </c>
    </row>
    <row r="33" spans="1:22" s="26" customFormat="1" x14ac:dyDescent="0.2">
      <c r="A33" s="75" t="str">
        <f>VLOOKUP("&lt;Zeilentitel_21&gt;",Uebersetzungen!$B$3:$E$931,Uebersetzungen!$B$2+1,FALSE)</f>
        <v>C17</v>
      </c>
      <c r="B33" s="83" t="str">
        <f>VLOOKUP("&lt;Zeilentitel_21.1&gt;",Uebersetzungen!$B$3:$E$931,Uebersetzungen!$B$2+1,FALSE)</f>
        <v>Papier, Pappe und Waren daraus</v>
      </c>
      <c r="C33" s="32"/>
      <c r="D33" s="46">
        <v>17986.4565673672</v>
      </c>
      <c r="E33" s="65">
        <v>20742.496752662901</v>
      </c>
      <c r="F33" s="65">
        <v>19161.7680846691</v>
      </c>
      <c r="G33" s="65">
        <v>20166.9692156686</v>
      </c>
      <c r="H33" s="65">
        <v>19169.643451061598</v>
      </c>
      <c r="I33" s="65">
        <v>22494.878040281197</v>
      </c>
      <c r="J33" s="65">
        <v>27056.065645160899</v>
      </c>
      <c r="K33" s="93">
        <v>25669.505062914403</v>
      </c>
      <c r="L33" s="66">
        <v>22987.053334824901</v>
      </c>
      <c r="M33" s="44"/>
      <c r="N33" s="54" t="s">
        <v>673</v>
      </c>
      <c r="O33" s="55">
        <v>15.3228634832721</v>
      </c>
      <c r="P33" s="55">
        <v>-7.6207251559089704</v>
      </c>
      <c r="Q33" s="55">
        <v>5.2458683695461596</v>
      </c>
      <c r="R33" s="55">
        <v>-4.9453428224212201</v>
      </c>
      <c r="S33" s="55">
        <v>17.346355959664098</v>
      </c>
      <c r="T33" s="55">
        <v>20.276560720676098</v>
      </c>
      <c r="U33" s="99">
        <v>-5.1247679556634802</v>
      </c>
      <c r="V33" s="56">
        <v>-10.4499550011381</v>
      </c>
    </row>
    <row r="34" spans="1:22" s="26" customFormat="1" x14ac:dyDescent="0.2">
      <c r="A34" s="75" t="str">
        <f>VLOOKUP("&lt;Zeilentitel_22&gt;",Uebersetzungen!$B$3:$E$931,Uebersetzungen!$B$2+1,FALSE)</f>
        <v>C18</v>
      </c>
      <c r="B34" s="83" t="str">
        <f>VLOOKUP("&lt;Zeilentitel_22.1&gt;",Uebersetzungen!$B$3:$E$931,Uebersetzungen!$B$2+1,FALSE)</f>
        <v>Druckereileistungen und Dienstleistungen der Vervielfältigung bespielter Ton-, Bild- und Datenträger</v>
      </c>
      <c r="C34" s="32"/>
      <c r="D34" s="46">
        <v>74.09739347741791</v>
      </c>
      <c r="E34" s="65">
        <v>56.5561516556835</v>
      </c>
      <c r="F34" s="65">
        <v>82.73903771210621</v>
      </c>
      <c r="G34" s="65">
        <v>35.831497252556105</v>
      </c>
      <c r="H34" s="65">
        <v>113.316793917995</v>
      </c>
      <c r="I34" s="65">
        <v>209.4757581552</v>
      </c>
      <c r="J34" s="65">
        <v>173.652237917409</v>
      </c>
      <c r="K34" s="93">
        <v>250.66950026992998</v>
      </c>
      <c r="L34" s="66">
        <v>146.996575947075</v>
      </c>
      <c r="M34" s="44"/>
      <c r="N34" s="54" t="s">
        <v>673</v>
      </c>
      <c r="O34" s="55">
        <v>-23.673223845694899</v>
      </c>
      <c r="P34" s="55">
        <v>46.295381297909799</v>
      </c>
      <c r="Q34" s="55">
        <v>-56.693359938227502</v>
      </c>
      <c r="R34" s="55">
        <v>216.24911769465999</v>
      </c>
      <c r="S34" s="55">
        <v>84.858528830945403</v>
      </c>
      <c r="T34" s="55">
        <v>-17.1015111978971</v>
      </c>
      <c r="U34" s="99">
        <v>44.351436685286103</v>
      </c>
      <c r="V34" s="56">
        <v>-41.358411857532097</v>
      </c>
    </row>
    <row r="35" spans="1:22" s="26" customFormat="1" x14ac:dyDescent="0.2">
      <c r="A35" s="75" t="str">
        <f>VLOOKUP("&lt;Zeilentitel_23&gt;",Uebersetzungen!$B$3:$E$931,Uebersetzungen!$B$2+1,FALSE)</f>
        <v>C19</v>
      </c>
      <c r="B35" s="83" t="str">
        <f>VLOOKUP("&lt;Zeilentitel_23.1&gt;",Uebersetzungen!$B$3:$E$931,Uebersetzungen!$B$2+1,FALSE)</f>
        <v>Kokereierzeugnisse und Mineralölerzeugnisse</v>
      </c>
      <c r="C35" s="32"/>
      <c r="D35" s="46">
        <v>46642.894832723105</v>
      </c>
      <c r="E35" s="65">
        <v>44485.464145968494</v>
      </c>
      <c r="F35" s="65">
        <v>66669.546690955001</v>
      </c>
      <c r="G35" s="65">
        <v>40646.571787720102</v>
      </c>
      <c r="H35" s="65">
        <v>21190.482101813901</v>
      </c>
      <c r="I35" s="65">
        <v>25170.2860631478</v>
      </c>
      <c r="J35" s="65">
        <v>75271.3725906037</v>
      </c>
      <c r="K35" s="93">
        <v>61005.274777384802</v>
      </c>
      <c r="L35" s="66">
        <v>46111.440587692297</v>
      </c>
      <c r="M35" s="44"/>
      <c r="N35" s="54" t="s">
        <v>673</v>
      </c>
      <c r="O35" s="55">
        <v>-4.6254219308037996</v>
      </c>
      <c r="P35" s="55">
        <v>49.868160242623702</v>
      </c>
      <c r="Q35" s="55">
        <v>-39.032776124703197</v>
      </c>
      <c r="R35" s="55">
        <v>-47.866496066426301</v>
      </c>
      <c r="S35" s="55">
        <v>18.7810921064094</v>
      </c>
      <c r="T35" s="55">
        <v>199.04853843043799</v>
      </c>
      <c r="U35" s="99">
        <v>-18.9528864988437</v>
      </c>
      <c r="V35" s="56">
        <v>-24.414010499980201</v>
      </c>
    </row>
    <row r="36" spans="1:22" s="26" customFormat="1" x14ac:dyDescent="0.2">
      <c r="A36" s="75" t="str">
        <f>VLOOKUP("&lt;Zeilentitel_24&gt;",Uebersetzungen!$B$3:$E$931,Uebersetzungen!$B$2+1,FALSE)</f>
        <v>C20</v>
      </c>
      <c r="B36" s="83" t="str">
        <f>VLOOKUP("&lt;Zeilentitel_24.1&gt;",Uebersetzungen!$B$3:$E$931,Uebersetzungen!$B$2+1,FALSE)</f>
        <v>Chemische Erzeugnisse</v>
      </c>
      <c r="C36" s="32"/>
      <c r="D36" s="46">
        <v>354610.37542978901</v>
      </c>
      <c r="E36" s="65">
        <v>428721.166631378</v>
      </c>
      <c r="F36" s="65">
        <v>458213.63040099299</v>
      </c>
      <c r="G36" s="65">
        <v>419041.29752275196</v>
      </c>
      <c r="H36" s="65">
        <v>329915.077161094</v>
      </c>
      <c r="I36" s="65">
        <v>480810.28243590996</v>
      </c>
      <c r="J36" s="65">
        <v>562299.88243149396</v>
      </c>
      <c r="K36" s="93">
        <v>405577.00377813401</v>
      </c>
      <c r="L36" s="66">
        <v>426524.957107177</v>
      </c>
      <c r="M36" s="44"/>
      <c r="N36" s="54" t="s">
        <v>673</v>
      </c>
      <c r="O36" s="55">
        <v>20.899216812752901</v>
      </c>
      <c r="P36" s="55">
        <v>6.87917137410055</v>
      </c>
      <c r="Q36" s="55">
        <v>-8.5489235324494395</v>
      </c>
      <c r="R36" s="55">
        <v>-21.269077985522198</v>
      </c>
      <c r="S36" s="55">
        <v>45.737589980204199</v>
      </c>
      <c r="T36" s="55">
        <v>16.948389619027399</v>
      </c>
      <c r="U36" s="99">
        <v>-27.871760878849798</v>
      </c>
      <c r="V36" s="56">
        <v>5.1649756110191101</v>
      </c>
    </row>
    <row r="37" spans="1:22" s="26" customFormat="1" x14ac:dyDescent="0.2">
      <c r="A37" s="75" t="str">
        <f>VLOOKUP("&lt;Zeilentitel_25&gt;",Uebersetzungen!$B$3:$E$931,Uebersetzungen!$B$2+1,FALSE)</f>
        <v>C21</v>
      </c>
      <c r="B37" s="83" t="str">
        <f>VLOOKUP("&lt;Zeilentitel_25.1&gt;",Uebersetzungen!$B$3:$E$931,Uebersetzungen!$B$2+1,FALSE)</f>
        <v>Pharmazeutische Erzeugnisse</v>
      </c>
      <c r="C37" s="32"/>
      <c r="D37" s="46">
        <v>7393.6152503332696</v>
      </c>
      <c r="E37" s="65">
        <v>8053.4997961470999</v>
      </c>
      <c r="F37" s="65">
        <v>10157.589782966201</v>
      </c>
      <c r="G37" s="65">
        <v>8416.7012729041708</v>
      </c>
      <c r="H37" s="65">
        <v>9593.5446598073395</v>
      </c>
      <c r="I37" s="65">
        <v>10327.680483141899</v>
      </c>
      <c r="J37" s="65">
        <v>9839.0600406770591</v>
      </c>
      <c r="K37" s="93">
        <v>12893.883431288199</v>
      </c>
      <c r="L37" s="66">
        <v>11712.076924028801</v>
      </c>
      <c r="M37" s="44"/>
      <c r="N37" s="54" t="s">
        <v>673</v>
      </c>
      <c r="O37" s="55">
        <v>8.9250593041622697</v>
      </c>
      <c r="P37" s="55">
        <v>26.126405166431301</v>
      </c>
      <c r="Q37" s="55">
        <v>-17.138795199048399</v>
      </c>
      <c r="R37" s="55">
        <v>13.9822401763477</v>
      </c>
      <c r="S37" s="55">
        <v>7.6523938686636397</v>
      </c>
      <c r="T37" s="55">
        <v>-4.7311731154199501</v>
      </c>
      <c r="U37" s="99">
        <v>31.047918988011102</v>
      </c>
      <c r="V37" s="56">
        <v>-9.1656366645262803</v>
      </c>
    </row>
    <row r="38" spans="1:22" s="26" customFormat="1" x14ac:dyDescent="0.2">
      <c r="A38" s="75" t="str">
        <f>VLOOKUP("&lt;Zeilentitel_26&gt;",Uebersetzungen!$B$3:$E$931,Uebersetzungen!$B$2+1,FALSE)</f>
        <v>C22</v>
      </c>
      <c r="B38" s="83" t="str">
        <f>VLOOKUP("&lt;Zeilentitel_26.1&gt;",Uebersetzungen!$B$3:$E$931,Uebersetzungen!$B$2+1,FALSE)</f>
        <v>Gummi- und Kunststoffwaren</v>
      </c>
      <c r="C38" s="32"/>
      <c r="D38" s="46">
        <v>97383.136833498807</v>
      </c>
      <c r="E38" s="65">
        <v>83179.740665012301</v>
      </c>
      <c r="F38" s="65">
        <v>98335.257325508705</v>
      </c>
      <c r="G38" s="65">
        <v>89872.545706567893</v>
      </c>
      <c r="H38" s="65">
        <v>105730.72963899399</v>
      </c>
      <c r="I38" s="65">
        <v>115723.33535898999</v>
      </c>
      <c r="J38" s="65">
        <v>109298.47474474899</v>
      </c>
      <c r="K38" s="93">
        <v>93163.349368030904</v>
      </c>
      <c r="L38" s="66">
        <v>94106.457966284201</v>
      </c>
      <c r="M38" s="44"/>
      <c r="N38" s="54" t="s">
        <v>673</v>
      </c>
      <c r="O38" s="55">
        <v>-14.585067425760601</v>
      </c>
      <c r="P38" s="55">
        <v>18.220201865658399</v>
      </c>
      <c r="Q38" s="55">
        <v>-8.6059790243163796</v>
      </c>
      <c r="R38" s="55">
        <v>17.645192764654499</v>
      </c>
      <c r="S38" s="55">
        <v>9.4509947619907706</v>
      </c>
      <c r="T38" s="55">
        <v>-5.5519144814747401</v>
      </c>
      <c r="U38" s="99">
        <v>-14.7624433135038</v>
      </c>
      <c r="V38" s="56">
        <v>1.0123171876610699</v>
      </c>
    </row>
    <row r="39" spans="1:22" s="26" customFormat="1" x14ac:dyDescent="0.2">
      <c r="A39" s="75" t="str">
        <f>VLOOKUP("&lt;Zeilentitel_27&gt;",Uebersetzungen!$B$3:$E$931,Uebersetzungen!$B$2+1,FALSE)</f>
        <v>C23</v>
      </c>
      <c r="B39" s="83" t="str">
        <f>VLOOKUP("&lt;Zeilentitel_27.1&gt;",Uebersetzungen!$B$3:$E$931,Uebersetzungen!$B$2+1,FALSE)</f>
        <v>Glas- und Glaswaren, Keramik, verarbeitete Steine und Erden</v>
      </c>
      <c r="C39" s="32"/>
      <c r="D39" s="46">
        <v>61236.6023798608</v>
      </c>
      <c r="E39" s="65">
        <v>69835.027636160303</v>
      </c>
      <c r="F39" s="65">
        <v>72886.741275372799</v>
      </c>
      <c r="G39" s="65">
        <v>65629.390789200901</v>
      </c>
      <c r="H39" s="65">
        <v>61831.375159608899</v>
      </c>
      <c r="I39" s="65">
        <v>86413.258029537799</v>
      </c>
      <c r="J39" s="65">
        <v>86355.6379322094</v>
      </c>
      <c r="K39" s="93">
        <v>72292.9220293463</v>
      </c>
      <c r="L39" s="66">
        <v>74451.350849426104</v>
      </c>
      <c r="M39" s="44"/>
      <c r="N39" s="54" t="s">
        <v>673</v>
      </c>
      <c r="O39" s="55">
        <v>14.0413166670516</v>
      </c>
      <c r="P39" s="55">
        <v>4.36988964207473</v>
      </c>
      <c r="Q39" s="55">
        <v>-9.9570242257820603</v>
      </c>
      <c r="R39" s="55">
        <v>-5.7870651912511102</v>
      </c>
      <c r="S39" s="55">
        <v>39.756325662294003</v>
      </c>
      <c r="T39" s="55">
        <v>-6.6679695502985803E-2</v>
      </c>
      <c r="U39" s="99">
        <v>-16.284652906973601</v>
      </c>
      <c r="V39" s="56">
        <v>2.9856710165949201</v>
      </c>
    </row>
    <row r="40" spans="1:22" s="26" customFormat="1" x14ac:dyDescent="0.2">
      <c r="A40" s="75" t="str">
        <f>VLOOKUP("&lt;Zeilentitel_28&gt;",Uebersetzungen!$B$3:$E$931,Uebersetzungen!$B$2+1,FALSE)</f>
        <v>C24</v>
      </c>
      <c r="B40" s="83" t="str">
        <f>VLOOKUP("&lt;Zeilentitel_28.1&gt;",Uebersetzungen!$B$3:$E$931,Uebersetzungen!$B$2+1,FALSE)</f>
        <v>Metalle</v>
      </c>
      <c r="C40" s="32"/>
      <c r="D40" s="46">
        <v>67989.518511778806</v>
      </c>
      <c r="E40" s="65">
        <v>81124.250311113996</v>
      </c>
      <c r="F40" s="65">
        <v>127269.90453696001</v>
      </c>
      <c r="G40" s="65">
        <v>86676.676121325901</v>
      </c>
      <c r="H40" s="65">
        <v>95623.498145352904</v>
      </c>
      <c r="I40" s="65">
        <v>135672.791771744</v>
      </c>
      <c r="J40" s="65">
        <v>152421.640126493</v>
      </c>
      <c r="K40" s="93">
        <v>128532.821072026</v>
      </c>
      <c r="L40" s="66">
        <v>90508.955656144099</v>
      </c>
      <c r="M40" s="44"/>
      <c r="N40" s="54" t="s">
        <v>673</v>
      </c>
      <c r="O40" s="55">
        <v>19.318759842459599</v>
      </c>
      <c r="P40" s="55">
        <v>56.882688035792199</v>
      </c>
      <c r="Q40" s="55">
        <v>-31.8953868656716</v>
      </c>
      <c r="R40" s="55">
        <v>10.3220640481226</v>
      </c>
      <c r="S40" s="55">
        <v>41.882272038944301</v>
      </c>
      <c r="T40" s="55">
        <v>12.345031112005699</v>
      </c>
      <c r="U40" s="99">
        <v>-15.6728526439174</v>
      </c>
      <c r="V40" s="56">
        <v>-29.583000745447102</v>
      </c>
    </row>
    <row r="41" spans="1:22" s="26" customFormat="1" x14ac:dyDescent="0.2">
      <c r="A41" s="75" t="str">
        <f>VLOOKUP("&lt;Zeilentitel_29&gt;",Uebersetzungen!$B$3:$E$931,Uebersetzungen!$B$2+1,FALSE)</f>
        <v>C25</v>
      </c>
      <c r="B41" s="83" t="str">
        <f>VLOOKUP("&lt;Zeilentitel_29.1&gt;",Uebersetzungen!$B$3:$E$931,Uebersetzungen!$B$2+1,FALSE)</f>
        <v>Metallerzeugnisse</v>
      </c>
      <c r="C41" s="32"/>
      <c r="D41" s="46">
        <v>65451.757158411601</v>
      </c>
      <c r="E41" s="65">
        <v>73412.520159980602</v>
      </c>
      <c r="F41" s="65">
        <v>80031.681316902803</v>
      </c>
      <c r="G41" s="65">
        <v>80090.389348081502</v>
      </c>
      <c r="H41" s="65">
        <v>79603.973298660203</v>
      </c>
      <c r="I41" s="65">
        <v>88708.907164105593</v>
      </c>
      <c r="J41" s="65">
        <v>99705.771905198504</v>
      </c>
      <c r="K41" s="93">
        <v>84926.572942199607</v>
      </c>
      <c r="L41" s="66">
        <v>94834.129534867403</v>
      </c>
      <c r="M41" s="44"/>
      <c r="N41" s="54" t="s">
        <v>673</v>
      </c>
      <c r="O41" s="55">
        <v>12.1627949304733</v>
      </c>
      <c r="P41" s="55">
        <v>9.0163927658357803</v>
      </c>
      <c r="Q41" s="55">
        <v>7.33559887942202E-2</v>
      </c>
      <c r="R41" s="55">
        <v>-0.60733385538586204</v>
      </c>
      <c r="S41" s="55">
        <v>11.437788200954801</v>
      </c>
      <c r="T41" s="55">
        <v>12.3965733460671</v>
      </c>
      <c r="U41" s="99">
        <v>-14.822811839871401</v>
      </c>
      <c r="V41" s="56">
        <v>11.6660266032527</v>
      </c>
    </row>
    <row r="42" spans="1:22" s="26" customFormat="1" x14ac:dyDescent="0.2">
      <c r="A42" s="75" t="str">
        <f>VLOOKUP("&lt;Zeilentitel_30&gt;",Uebersetzungen!$B$3:$E$931,Uebersetzungen!$B$2+1,FALSE)</f>
        <v>C26</v>
      </c>
      <c r="B42" s="83" t="str">
        <f>VLOOKUP("&lt;Zeilentitel_30.1&gt;",Uebersetzungen!$B$3:$E$931,Uebersetzungen!$B$2+1,FALSE)</f>
        <v>Datenverarbeitungsgeräte, elektronische und optische Erzeugnisse</v>
      </c>
      <c r="C42" s="32"/>
      <c r="D42" s="46">
        <v>182274.904109197</v>
      </c>
      <c r="E42" s="65">
        <v>200768.54883172299</v>
      </c>
      <c r="F42" s="65">
        <v>239091.072819066</v>
      </c>
      <c r="G42" s="65">
        <v>184646.740660977</v>
      </c>
      <c r="H42" s="65">
        <v>162878.642302397</v>
      </c>
      <c r="I42" s="65">
        <v>185607.326662732</v>
      </c>
      <c r="J42" s="65">
        <v>178931.549703792</v>
      </c>
      <c r="K42" s="93">
        <v>162887.62939739999</v>
      </c>
      <c r="L42" s="66">
        <v>129365.176442057</v>
      </c>
      <c r="M42" s="44"/>
      <c r="N42" s="54" t="s">
        <v>673</v>
      </c>
      <c r="O42" s="55">
        <v>10.146018077972</v>
      </c>
      <c r="P42" s="55">
        <v>19.087912031213399</v>
      </c>
      <c r="Q42" s="55">
        <v>-22.771378084571701</v>
      </c>
      <c r="R42" s="55">
        <v>-11.789050963291899</v>
      </c>
      <c r="S42" s="55">
        <v>13.9543675211494</v>
      </c>
      <c r="T42" s="55">
        <v>-3.5967206030992398</v>
      </c>
      <c r="U42" s="99">
        <v>-8.9665127994205402</v>
      </c>
      <c r="V42" s="56">
        <v>-20.580109784493299</v>
      </c>
    </row>
    <row r="43" spans="1:22" s="26" customFormat="1" x14ac:dyDescent="0.2">
      <c r="A43" s="75" t="str">
        <f>VLOOKUP("&lt;Zeilentitel_31&gt;",Uebersetzungen!$B$3:$E$931,Uebersetzungen!$B$2+1,FALSE)</f>
        <v>C27</v>
      </c>
      <c r="B43" s="83" t="str">
        <f>VLOOKUP("&lt;Zeilentitel_31.1&gt;",Uebersetzungen!$B$3:$E$931,Uebersetzungen!$B$2+1,FALSE)</f>
        <v>Elektrische Ausrüstungen</v>
      </c>
      <c r="C43" s="32"/>
      <c r="D43" s="46">
        <v>102499.07707384201</v>
      </c>
      <c r="E43" s="65">
        <v>130571.620229294</v>
      </c>
      <c r="F43" s="65">
        <v>156238.46984503901</v>
      </c>
      <c r="G43" s="65">
        <v>127930.21132984399</v>
      </c>
      <c r="H43" s="65">
        <v>118931.050483714</v>
      </c>
      <c r="I43" s="65">
        <v>134721.543546851</v>
      </c>
      <c r="J43" s="65">
        <v>132546.938478383</v>
      </c>
      <c r="K43" s="93">
        <v>136500.625030105</v>
      </c>
      <c r="L43" s="66">
        <v>114149.04028698101</v>
      </c>
      <c r="M43" s="44"/>
      <c r="N43" s="54" t="s">
        <v>673</v>
      </c>
      <c r="O43" s="55">
        <v>27.388093587641499</v>
      </c>
      <c r="P43" s="55">
        <v>19.657295797257699</v>
      </c>
      <c r="Q43" s="55">
        <v>-18.118622477083601</v>
      </c>
      <c r="R43" s="55">
        <v>-7.0344297508642102</v>
      </c>
      <c r="S43" s="55">
        <v>13.2770147063479</v>
      </c>
      <c r="T43" s="55">
        <v>-1.61414797605245</v>
      </c>
      <c r="U43" s="99">
        <v>2.9828576933652702</v>
      </c>
      <c r="V43" s="56">
        <v>-16.3747123781996</v>
      </c>
    </row>
    <row r="44" spans="1:22" s="26" customFormat="1" x14ac:dyDescent="0.2">
      <c r="A44" s="75" t="str">
        <f>VLOOKUP("&lt;Zeilentitel_32&gt;",Uebersetzungen!$B$3:$E$931,Uebersetzungen!$B$2+1,FALSE)</f>
        <v>C28</v>
      </c>
      <c r="B44" s="83" t="str">
        <f>VLOOKUP("&lt;Zeilentitel_32.1&gt;",Uebersetzungen!$B$3:$E$931,Uebersetzungen!$B$2+1,FALSE)</f>
        <v>Maschinen</v>
      </c>
      <c r="C44" s="32"/>
      <c r="D44" s="46">
        <v>234353.17778340701</v>
      </c>
      <c r="E44" s="65">
        <v>237113.367334184</v>
      </c>
      <c r="F44" s="65">
        <v>291813.12329951202</v>
      </c>
      <c r="G44" s="65">
        <v>246386.89740742298</v>
      </c>
      <c r="H44" s="65">
        <v>221474.74696063701</v>
      </c>
      <c r="I44" s="65">
        <v>265760.139682782</v>
      </c>
      <c r="J44" s="65">
        <v>295809.77840934601</v>
      </c>
      <c r="K44" s="93">
        <v>290431.95388572803</v>
      </c>
      <c r="L44" s="66">
        <v>261616.79615099099</v>
      </c>
      <c r="M44" s="44"/>
      <c r="N44" s="54" t="s">
        <v>673</v>
      </c>
      <c r="O44" s="55">
        <v>1.1777905368656101</v>
      </c>
      <c r="P44" s="55">
        <v>23.069030894506898</v>
      </c>
      <c r="Q44" s="55">
        <v>-15.566889308629399</v>
      </c>
      <c r="R44" s="55">
        <v>-10.1109883313284</v>
      </c>
      <c r="S44" s="55">
        <v>19.9956849843547</v>
      </c>
      <c r="T44" s="55">
        <v>11.307052578476201</v>
      </c>
      <c r="U44" s="99">
        <v>-1.8180009303736999</v>
      </c>
      <c r="V44" s="56">
        <v>-9.9214832766212897</v>
      </c>
    </row>
    <row r="45" spans="1:22" s="26" customFormat="1" x14ac:dyDescent="0.2">
      <c r="A45" s="75" t="str">
        <f>VLOOKUP("&lt;Zeilentitel_33&gt;",Uebersetzungen!$B$3:$E$931,Uebersetzungen!$B$2+1,FALSE)</f>
        <v>C29</v>
      </c>
      <c r="B45" s="83" t="str">
        <f>VLOOKUP("&lt;Zeilentitel_33.1&gt;",Uebersetzungen!$B$3:$E$931,Uebersetzungen!$B$2+1,FALSE)</f>
        <v>Kraftwagen und Kraftwagenteile</v>
      </c>
      <c r="C45" s="32"/>
      <c r="D45" s="46">
        <v>115530.12896668901</v>
      </c>
      <c r="E45" s="65">
        <v>113789.872672793</v>
      </c>
      <c r="F45" s="65">
        <v>63867.543846843801</v>
      </c>
      <c r="G45" s="65">
        <v>101373.66722580101</v>
      </c>
      <c r="H45" s="65">
        <v>69427.322206732788</v>
      </c>
      <c r="I45" s="65">
        <v>67851.561963537606</v>
      </c>
      <c r="J45" s="65">
        <v>62129.5433531737</v>
      </c>
      <c r="K45" s="93">
        <v>68639.271543756506</v>
      </c>
      <c r="L45" s="66">
        <v>74285.100721674287</v>
      </c>
      <c r="M45" s="44"/>
      <c r="N45" s="54" t="s">
        <v>673</v>
      </c>
      <c r="O45" s="55">
        <v>-1.5063224714290899</v>
      </c>
      <c r="P45" s="55">
        <v>-43.872383063036402</v>
      </c>
      <c r="Q45" s="55">
        <v>58.724856350978499</v>
      </c>
      <c r="R45" s="55">
        <v>-31.513455015798598</v>
      </c>
      <c r="S45" s="55">
        <v>-2.26965435668559</v>
      </c>
      <c r="T45" s="55">
        <v>-8.4331420600734699</v>
      </c>
      <c r="U45" s="99">
        <v>10.477669461657699</v>
      </c>
      <c r="V45" s="56">
        <v>8.2253629022252603</v>
      </c>
    </row>
    <row r="46" spans="1:22" s="26" customFormat="1" x14ac:dyDescent="0.2">
      <c r="A46" s="75" t="str">
        <f>VLOOKUP("&lt;Zeilentitel_34&gt;",Uebersetzungen!$B$3:$E$931,Uebersetzungen!$B$2+1,FALSE)</f>
        <v>C30</v>
      </c>
      <c r="B46" s="83" t="str">
        <f>VLOOKUP("&lt;Zeilentitel_34.1&gt;",Uebersetzungen!$B$3:$E$931,Uebersetzungen!$B$2+1,FALSE)</f>
        <v>Sonstige Fahrzeuge</v>
      </c>
      <c r="C46" s="32"/>
      <c r="D46" s="46">
        <v>41387.916534422504</v>
      </c>
      <c r="E46" s="65">
        <v>40589.056572981601</v>
      </c>
      <c r="F46" s="65">
        <v>15550.867591562901</v>
      </c>
      <c r="G46" s="65">
        <v>19619.862664496599</v>
      </c>
      <c r="H46" s="65">
        <v>49984.048245721402</v>
      </c>
      <c r="I46" s="65">
        <v>17487.171590248901</v>
      </c>
      <c r="J46" s="65">
        <v>20328.944368470999</v>
      </c>
      <c r="K46" s="93">
        <v>17114.7822075896</v>
      </c>
      <c r="L46" s="66">
        <v>15903.060875662301</v>
      </c>
      <c r="M46" s="44"/>
      <c r="N46" s="54" t="s">
        <v>673</v>
      </c>
      <c r="O46" s="55">
        <v>-1.9301767963519101</v>
      </c>
      <c r="P46" s="55">
        <v>-61.6870434926184</v>
      </c>
      <c r="Q46" s="55">
        <v>26.165711005997601</v>
      </c>
      <c r="R46" s="55">
        <v>154.76247770159301</v>
      </c>
      <c r="S46" s="55">
        <v>-65.014495215989697</v>
      </c>
      <c r="T46" s="55">
        <v>16.250614134802301</v>
      </c>
      <c r="U46" s="99">
        <v>-15.8107676553358</v>
      </c>
      <c r="V46" s="56">
        <v>-7.0799693342866803</v>
      </c>
    </row>
    <row r="47" spans="1:22" s="26" customFormat="1" x14ac:dyDescent="0.2">
      <c r="A47" s="75" t="str">
        <f>VLOOKUP("&lt;Zeilentitel_35&gt;",Uebersetzungen!$B$3:$E$931,Uebersetzungen!$B$2+1,FALSE)</f>
        <v>C31</v>
      </c>
      <c r="B47" s="83" t="str">
        <f>VLOOKUP("&lt;Zeilentitel_35.1&gt;",Uebersetzungen!$B$3:$E$931,Uebersetzungen!$B$2+1,FALSE)</f>
        <v>Möbel</v>
      </c>
      <c r="C47" s="32"/>
      <c r="D47" s="46">
        <v>36238.4315789803</v>
      </c>
      <c r="E47" s="65">
        <v>38524.742505037502</v>
      </c>
      <c r="F47" s="65">
        <v>47723.440976221005</v>
      </c>
      <c r="G47" s="65">
        <v>42395.5209453364</v>
      </c>
      <c r="H47" s="65">
        <v>41294.619681562603</v>
      </c>
      <c r="I47" s="65">
        <v>41968.455354454702</v>
      </c>
      <c r="J47" s="65">
        <v>45472.664714275299</v>
      </c>
      <c r="K47" s="93">
        <v>43068.814437890796</v>
      </c>
      <c r="L47" s="66">
        <v>45398.465589439897</v>
      </c>
      <c r="M47" s="44"/>
      <c r="N47" s="54" t="s">
        <v>673</v>
      </c>
      <c r="O47" s="55">
        <v>6.3090780324593103</v>
      </c>
      <c r="P47" s="55">
        <v>23.877378206955299</v>
      </c>
      <c r="Q47" s="55">
        <v>-11.1641573237338</v>
      </c>
      <c r="R47" s="55">
        <v>-2.59673955933525</v>
      </c>
      <c r="S47" s="55">
        <v>1.63177595068863</v>
      </c>
      <c r="T47" s="55">
        <v>8.3496267142190597</v>
      </c>
      <c r="U47" s="99">
        <v>-5.28636333825827</v>
      </c>
      <c r="V47" s="56">
        <v>5.4091369403926599</v>
      </c>
    </row>
    <row r="48" spans="1:22" s="26" customFormat="1" x14ac:dyDescent="0.2">
      <c r="A48" s="75" t="str">
        <f>VLOOKUP("&lt;Zeilentitel_36&gt;",Uebersetzungen!$B$3:$E$931,Uebersetzungen!$B$2+1,FALSE)</f>
        <v>C32</v>
      </c>
      <c r="B48" s="83" t="str">
        <f>VLOOKUP("&lt;Zeilentitel_36.1&gt;",Uebersetzungen!$B$3:$E$931,Uebersetzungen!$B$2+1,FALSE)</f>
        <v>Waren, a.n.g.</v>
      </c>
      <c r="C48" s="32"/>
      <c r="D48" s="46">
        <v>89243.171536271504</v>
      </c>
      <c r="E48" s="65">
        <v>102352.117571681</v>
      </c>
      <c r="F48" s="65">
        <v>91911.522931523796</v>
      </c>
      <c r="G48" s="65">
        <v>136044.092188018</v>
      </c>
      <c r="H48" s="65">
        <v>104594.913259412</v>
      </c>
      <c r="I48" s="65">
        <v>77542.849155001109</v>
      </c>
      <c r="J48" s="65">
        <v>83539.297130585197</v>
      </c>
      <c r="K48" s="93">
        <v>100195.643519107</v>
      </c>
      <c r="L48" s="66">
        <v>94282.66673431189</v>
      </c>
      <c r="M48" s="44"/>
      <c r="N48" s="54" t="s">
        <v>673</v>
      </c>
      <c r="O48" s="55">
        <v>14.689018565506499</v>
      </c>
      <c r="P48" s="55">
        <v>-10.200663052081399</v>
      </c>
      <c r="Q48" s="55">
        <v>48.016361658345701</v>
      </c>
      <c r="R48" s="55">
        <v>-23.1169016035929</v>
      </c>
      <c r="S48" s="55">
        <v>-25.863651741187098</v>
      </c>
      <c r="T48" s="55">
        <v>7.7330766678404501</v>
      </c>
      <c r="U48" s="99">
        <v>19.938336759627099</v>
      </c>
      <c r="V48" s="56">
        <v>-5.9014310174746596</v>
      </c>
    </row>
    <row r="49" spans="1:22" s="26" customFormat="1" x14ac:dyDescent="0.2">
      <c r="A49" s="75" t="str">
        <f>VLOOKUP("&lt;Zeilentitel_37&gt;",Uebersetzungen!$B$3:$E$931,Uebersetzungen!$B$2+1,FALSE)</f>
        <v>C33</v>
      </c>
      <c r="B49" s="83" t="str">
        <f>VLOOKUP("&lt;Zeilentitel_37.1&gt;",Uebersetzungen!$B$3:$E$931,Uebersetzungen!$B$2+1,FALSE)</f>
        <v>Reparatur- und Installationsarbeiten an Maschinen und Ausrüstungen</v>
      </c>
      <c r="C49" s="32"/>
      <c r="D49" s="46" t="s">
        <v>673</v>
      </c>
      <c r="E49" s="65" t="s">
        <v>673</v>
      </c>
      <c r="F49" s="65" t="s">
        <v>673</v>
      </c>
      <c r="G49" s="65" t="s">
        <v>673</v>
      </c>
      <c r="H49" s="65" t="s">
        <v>673</v>
      </c>
      <c r="I49" s="65" t="s">
        <v>673</v>
      </c>
      <c r="J49" s="65" t="s">
        <v>673</v>
      </c>
      <c r="K49" s="93" t="s">
        <v>673</v>
      </c>
      <c r="L49" s="66" t="s">
        <v>673</v>
      </c>
      <c r="M49" s="44"/>
      <c r="N49" s="54" t="s">
        <v>673</v>
      </c>
      <c r="O49" s="55" t="s">
        <v>673</v>
      </c>
      <c r="P49" s="55" t="s">
        <v>673</v>
      </c>
      <c r="Q49" s="55" t="s">
        <v>673</v>
      </c>
      <c r="R49" s="55" t="s">
        <v>673</v>
      </c>
      <c r="S49" s="55" t="s">
        <v>673</v>
      </c>
      <c r="T49" s="55" t="s">
        <v>673</v>
      </c>
      <c r="U49" s="99" t="s">
        <v>673</v>
      </c>
      <c r="V49" s="56" t="s">
        <v>673</v>
      </c>
    </row>
    <row r="50" spans="1:22" s="26" customFormat="1" x14ac:dyDescent="0.2">
      <c r="A50" s="77" t="str">
        <f>VLOOKUP("&lt;Zeilentitel_38&gt;",Uebersetzungen!$B$3:$E$931,Uebersetzungen!$B$2+1,FALSE)</f>
        <v>D</v>
      </c>
      <c r="B50" s="84" t="str">
        <f>VLOOKUP("&lt;Zeilentitel_38.1&gt;",Uebersetzungen!$B$3:$E$931,Uebersetzungen!$B$2+1,FALSE)</f>
        <v>ENERGIE UND DIENSTLEISTUNGEN DER ENERGIEVERSORGUNG</v>
      </c>
      <c r="C50" s="32"/>
      <c r="D50" s="45">
        <v>9.9044486007755507E-5</v>
      </c>
      <c r="E50" s="63">
        <v>11904.824317991201</v>
      </c>
      <c r="F50" s="63">
        <v>18393.155613481002</v>
      </c>
      <c r="G50" s="63">
        <v>11161.975564714801</v>
      </c>
      <c r="H50" s="63">
        <v>5355.8334812652092</v>
      </c>
      <c r="I50" s="63">
        <v>24350.527526340102</v>
      </c>
      <c r="J50" s="63">
        <v>62274.046976807702</v>
      </c>
      <c r="K50" s="92">
        <v>14835.186674570299</v>
      </c>
      <c r="L50" s="64">
        <v>7913.63897456412</v>
      </c>
      <c r="M50" s="43"/>
      <c r="N50" s="51" t="s">
        <v>673</v>
      </c>
      <c r="O50" s="52" t="s">
        <v>674</v>
      </c>
      <c r="P50" s="52">
        <v>54.501697145452702</v>
      </c>
      <c r="Q50" s="52">
        <v>-39.314515685748702</v>
      </c>
      <c r="R50" s="52">
        <v>-52.017154577940197</v>
      </c>
      <c r="S50" s="52">
        <v>354.654305656041</v>
      </c>
      <c r="T50" s="52">
        <v>155.74003236457801</v>
      </c>
      <c r="U50" s="98">
        <v>-76.177577345992503</v>
      </c>
      <c r="V50" s="53">
        <v>-46.656289885928601</v>
      </c>
    </row>
    <row r="51" spans="1:22" s="26" customFormat="1" x14ac:dyDescent="0.2">
      <c r="A51" s="75" t="str">
        <f>VLOOKUP("&lt;Zeilentitel_39&gt;",Uebersetzungen!$B$3:$E$931,Uebersetzungen!$B$2+1,FALSE)</f>
        <v>D35</v>
      </c>
      <c r="B51" s="83" t="str">
        <f>VLOOKUP("&lt;Zeilentitel_39.1&gt;",Uebersetzungen!$B$3:$E$931,Uebersetzungen!$B$2+1,FALSE)</f>
        <v>Energie und Dienstleistungen der Energieversorgung</v>
      </c>
      <c r="C51" s="32"/>
      <c r="D51" s="46">
        <v>9.9044486007755507E-5</v>
      </c>
      <c r="E51" s="65">
        <v>11904.824317991201</v>
      </c>
      <c r="F51" s="65">
        <v>18393.155613481002</v>
      </c>
      <c r="G51" s="65">
        <v>11161.975564714801</v>
      </c>
      <c r="H51" s="65">
        <v>5355.8334812652092</v>
      </c>
      <c r="I51" s="65">
        <v>24350.527526340102</v>
      </c>
      <c r="J51" s="65">
        <v>62274.046976807702</v>
      </c>
      <c r="K51" s="93">
        <v>14835.186674570299</v>
      </c>
      <c r="L51" s="66">
        <v>7913.63897456412</v>
      </c>
      <c r="M51" s="44"/>
      <c r="N51" s="54" t="s">
        <v>673</v>
      </c>
      <c r="O51" s="55" t="s">
        <v>674</v>
      </c>
      <c r="P51" s="55">
        <v>54.501697145452603</v>
      </c>
      <c r="Q51" s="55">
        <v>-39.314515685748702</v>
      </c>
      <c r="R51" s="55">
        <v>-52.017154577940197</v>
      </c>
      <c r="S51" s="55">
        <v>354.654305656041</v>
      </c>
      <c r="T51" s="55">
        <v>155.74003236457801</v>
      </c>
      <c r="U51" s="99">
        <v>-76.177577345992503</v>
      </c>
      <c r="V51" s="56">
        <v>-46.656289885928601</v>
      </c>
    </row>
    <row r="52" spans="1:22" s="26" customFormat="1" ht="28.5" x14ac:dyDescent="0.2">
      <c r="A52" s="77" t="str">
        <f>VLOOKUP("&lt;Zeilentitel_40&gt;",Uebersetzungen!$B$3:$E$931,Uebersetzungen!$B$2+1,FALSE)</f>
        <v>E</v>
      </c>
      <c r="B52" s="84" t="str">
        <f>VLOOKUP("&lt;Zeilentitel_40.1&gt;",Uebersetzungen!$B$3:$E$931,Uebersetzungen!$B$2+1,FALSE)</f>
        <v>WASSER; DIENSTLEISTUNGEN DER ABWASSER- UND ABFALLENTSORGUNG UND DER BESEITIGUNG VON UMWELTVERSCHMUTZUNGEN</v>
      </c>
      <c r="C52" s="32"/>
      <c r="D52" s="45">
        <v>506.89887201666699</v>
      </c>
      <c r="E52" s="63">
        <v>873.875538993634</v>
      </c>
      <c r="F52" s="63">
        <v>848.42838696088802</v>
      </c>
      <c r="G52" s="63">
        <v>627.72924090076003</v>
      </c>
      <c r="H52" s="63">
        <v>457.66219547992301</v>
      </c>
      <c r="I52" s="63">
        <v>910.54520364873201</v>
      </c>
      <c r="J52" s="63">
        <v>1103.8790280516498</v>
      </c>
      <c r="K52" s="92">
        <v>2535.3216598475701</v>
      </c>
      <c r="L52" s="64">
        <v>2061.0628986193301</v>
      </c>
      <c r="M52" s="43"/>
      <c r="N52" s="51" t="s">
        <v>673</v>
      </c>
      <c r="O52" s="52">
        <v>72.396426039965704</v>
      </c>
      <c r="P52" s="52">
        <v>-2.9119881375843999</v>
      </c>
      <c r="Q52" s="52">
        <v>-26.012701773296801</v>
      </c>
      <c r="R52" s="52">
        <v>-27.0924204800145</v>
      </c>
      <c r="S52" s="52">
        <v>98.955739111004902</v>
      </c>
      <c r="T52" s="52">
        <v>21.232754137651401</v>
      </c>
      <c r="U52" s="98">
        <v>129.673867826118</v>
      </c>
      <c r="V52" s="53">
        <v>-18.7060588302928</v>
      </c>
    </row>
    <row r="53" spans="1:22" s="26" customFormat="1" x14ac:dyDescent="0.2">
      <c r="A53" s="75" t="str">
        <f>VLOOKUP("&lt;Zeilentitel_41&gt;",Uebersetzungen!$B$3:$E$931,Uebersetzungen!$B$2+1,FALSE)</f>
        <v>E36</v>
      </c>
      <c r="B53" s="83" t="str">
        <f>VLOOKUP("&lt;Zeilentitel_41.1&gt;",Uebersetzungen!$B$3:$E$931,Uebersetzungen!$B$2+1,FALSE)</f>
        <v>Wasser; Dienstleistungen der Wasserversorgung sowie des Wasserhandels durch Rohrleitungen</v>
      </c>
      <c r="C53" s="32"/>
      <c r="D53" s="46" t="s">
        <v>673</v>
      </c>
      <c r="E53" s="65" t="s">
        <v>673</v>
      </c>
      <c r="F53" s="65" t="s">
        <v>673</v>
      </c>
      <c r="G53" s="65" t="s">
        <v>673</v>
      </c>
      <c r="H53" s="65" t="s">
        <v>673</v>
      </c>
      <c r="I53" s="65" t="s">
        <v>673</v>
      </c>
      <c r="J53" s="65" t="s">
        <v>673</v>
      </c>
      <c r="K53" s="93" t="s">
        <v>673</v>
      </c>
      <c r="L53" s="66" t="s">
        <v>673</v>
      </c>
      <c r="M53" s="44"/>
      <c r="N53" s="54" t="s">
        <v>673</v>
      </c>
      <c r="O53" s="55" t="s">
        <v>673</v>
      </c>
      <c r="P53" s="55" t="s">
        <v>673</v>
      </c>
      <c r="Q53" s="55" t="s">
        <v>673</v>
      </c>
      <c r="R53" s="55" t="s">
        <v>673</v>
      </c>
      <c r="S53" s="55" t="s">
        <v>673</v>
      </c>
      <c r="T53" s="55" t="s">
        <v>673</v>
      </c>
      <c r="U53" s="99" t="s">
        <v>673</v>
      </c>
      <c r="V53" s="56" t="s">
        <v>673</v>
      </c>
    </row>
    <row r="54" spans="1:22" s="26" customFormat="1" x14ac:dyDescent="0.2">
      <c r="A54" s="75" t="str">
        <f>VLOOKUP("&lt;Zeilentitel_42&gt;",Uebersetzungen!$B$3:$E$931,Uebersetzungen!$B$2+1,FALSE)</f>
        <v>E37</v>
      </c>
      <c r="B54" s="83" t="str">
        <f>VLOOKUP("&lt;Zeilentitel_42.1&gt;",Uebersetzungen!$B$3:$E$931,Uebersetzungen!$B$2+1,FALSE)</f>
        <v>Abwasserentsorgungsdienstleistungen</v>
      </c>
      <c r="C54" s="32"/>
      <c r="D54" s="46">
        <v>2.3312302748194999E-2</v>
      </c>
      <c r="E54" s="65">
        <v>2.7460068353366202E-2</v>
      </c>
      <c r="F54" s="65">
        <v>0.21861785995279301</v>
      </c>
      <c r="G54" s="65">
        <v>9.9776042058077099</v>
      </c>
      <c r="H54" s="65">
        <v>12.439106849494399</v>
      </c>
      <c r="I54" s="65">
        <v>24.887140692357903</v>
      </c>
      <c r="J54" s="65">
        <v>28.960580761359001</v>
      </c>
      <c r="K54" s="93">
        <v>16.662081255476803</v>
      </c>
      <c r="L54" s="66">
        <v>16.871625570481999</v>
      </c>
      <c r="M54" s="44"/>
      <c r="N54" s="54" t="s">
        <v>673</v>
      </c>
      <c r="O54" s="55">
        <v>17.792174586838399</v>
      </c>
      <c r="P54" s="55">
        <v>696.13006471629501</v>
      </c>
      <c r="Q54" s="55" t="s">
        <v>674</v>
      </c>
      <c r="R54" s="55">
        <v>24.670277482583501</v>
      </c>
      <c r="S54" s="55">
        <v>100.07176554938501</v>
      </c>
      <c r="T54" s="55">
        <v>16.367649941609798</v>
      </c>
      <c r="U54" s="99">
        <v>-42.466342809988198</v>
      </c>
      <c r="V54" s="56">
        <v>1.2576118900893001</v>
      </c>
    </row>
    <row r="55" spans="1:22" s="26" customFormat="1" x14ac:dyDescent="0.2">
      <c r="A55" s="75" t="str">
        <f>VLOOKUP("&lt;Zeilentitel_43&gt;",Uebersetzungen!$B$3:$E$931,Uebersetzungen!$B$2+1,FALSE)</f>
        <v>E38</v>
      </c>
      <c r="B55" s="83" t="str">
        <f>VLOOKUP("&lt;Zeilentitel_43.1&gt;",Uebersetzungen!$B$3:$E$931,Uebersetzungen!$B$2+1,FALSE)</f>
        <v>Dienstleistungen der Sammlung, Behandlung und Beseitigung von Abfällen sowie zur Rückgewinnung von Wertstoffen</v>
      </c>
      <c r="C55" s="32"/>
      <c r="D55" s="46">
        <v>506.87555971391902</v>
      </c>
      <c r="E55" s="65">
        <v>873.8480789252809</v>
      </c>
      <c r="F55" s="65">
        <v>848.20976910093407</v>
      </c>
      <c r="G55" s="65">
        <v>617.75163669495203</v>
      </c>
      <c r="H55" s="65">
        <v>445.22308863042804</v>
      </c>
      <c r="I55" s="65">
        <v>885.65806295637401</v>
      </c>
      <c r="J55" s="65">
        <v>1074.9184472902898</v>
      </c>
      <c r="K55" s="93">
        <v>2518.6595785920899</v>
      </c>
      <c r="L55" s="66">
        <v>2044.19127304885</v>
      </c>
      <c r="M55" s="44"/>
      <c r="N55" s="54" t="s">
        <v>673</v>
      </c>
      <c r="O55" s="55">
        <v>72.398937407532898</v>
      </c>
      <c r="P55" s="55">
        <v>-2.9339550480992802</v>
      </c>
      <c r="Q55" s="55">
        <v>-27.169945548995301</v>
      </c>
      <c r="R55" s="55">
        <v>-27.9284647447593</v>
      </c>
      <c r="S55" s="55">
        <v>98.924558400775894</v>
      </c>
      <c r="T55" s="55">
        <v>21.3694643847255</v>
      </c>
      <c r="U55" s="99">
        <v>134.31168987203301</v>
      </c>
      <c r="V55" s="56">
        <v>-18.838127612643401</v>
      </c>
    </row>
    <row r="56" spans="1:22" s="26" customFormat="1" x14ac:dyDescent="0.2">
      <c r="A56" s="75" t="str">
        <f>VLOOKUP("&lt;Zeilentitel_44&gt;",Uebersetzungen!$B$3:$E$931,Uebersetzungen!$B$2+1,FALSE)</f>
        <v>E39</v>
      </c>
      <c r="B56" s="83" t="str">
        <f>VLOOKUP("&lt;Zeilentitel_44.1&gt;",Uebersetzungen!$B$3:$E$931,Uebersetzungen!$B$2+1,FALSE)</f>
        <v>Dienstleistungen der Beseitigung von Umweltverschmutzungen und sonstigen Entsorgung</v>
      </c>
      <c r="C56" s="32"/>
      <c r="D56" s="46" t="s">
        <v>673</v>
      </c>
      <c r="E56" s="65" t="s">
        <v>673</v>
      </c>
      <c r="F56" s="65" t="s">
        <v>673</v>
      </c>
      <c r="G56" s="65" t="s">
        <v>673</v>
      </c>
      <c r="H56" s="65" t="s">
        <v>673</v>
      </c>
      <c r="I56" s="65" t="s">
        <v>673</v>
      </c>
      <c r="J56" s="65" t="s">
        <v>673</v>
      </c>
      <c r="K56" s="93" t="s">
        <v>673</v>
      </c>
      <c r="L56" s="66" t="s">
        <v>673</v>
      </c>
      <c r="M56" s="44"/>
      <c r="N56" s="54" t="s">
        <v>673</v>
      </c>
      <c r="O56" s="55" t="s">
        <v>673</v>
      </c>
      <c r="P56" s="55" t="s">
        <v>673</v>
      </c>
      <c r="Q56" s="55" t="s">
        <v>673</v>
      </c>
      <c r="R56" s="55" t="s">
        <v>673</v>
      </c>
      <c r="S56" s="55" t="s">
        <v>673</v>
      </c>
      <c r="T56" s="55" t="s">
        <v>673</v>
      </c>
      <c r="U56" s="99" t="s">
        <v>673</v>
      </c>
      <c r="V56" s="56" t="s">
        <v>673</v>
      </c>
    </row>
    <row r="57" spans="1:22" s="26" customFormat="1" x14ac:dyDescent="0.2">
      <c r="A57" s="77" t="str">
        <f>VLOOKUP("&lt;Zeilentitel_45&gt;",Uebersetzungen!$B$3:$E$931,Uebersetzungen!$B$2+1,FALSE)</f>
        <v>F</v>
      </c>
      <c r="B57" s="84" t="str">
        <f>VLOOKUP("&lt;Zeilentitel_45.1&gt;",Uebersetzungen!$B$3:$E$931,Uebersetzungen!$B$2+1,FALSE)</f>
        <v>GEBÄUDE UND BAUARBEITEN</v>
      </c>
      <c r="C57" s="32"/>
      <c r="D57" s="45" t="s">
        <v>673</v>
      </c>
      <c r="E57" s="63" t="s">
        <v>673</v>
      </c>
      <c r="F57" s="63" t="s">
        <v>673</v>
      </c>
      <c r="G57" s="63" t="s">
        <v>673</v>
      </c>
      <c r="H57" s="63" t="s">
        <v>673</v>
      </c>
      <c r="I57" s="63" t="s">
        <v>673</v>
      </c>
      <c r="J57" s="63" t="s">
        <v>673</v>
      </c>
      <c r="K57" s="92" t="s">
        <v>673</v>
      </c>
      <c r="L57" s="64" t="s">
        <v>673</v>
      </c>
      <c r="M57" s="43"/>
      <c r="N57" s="51" t="s">
        <v>673</v>
      </c>
      <c r="O57" s="52" t="s">
        <v>673</v>
      </c>
      <c r="P57" s="52" t="s">
        <v>673</v>
      </c>
      <c r="Q57" s="52" t="s">
        <v>673</v>
      </c>
      <c r="R57" s="52" t="s">
        <v>673</v>
      </c>
      <c r="S57" s="52" t="s">
        <v>673</v>
      </c>
      <c r="T57" s="52" t="s">
        <v>673</v>
      </c>
      <c r="U57" s="98" t="s">
        <v>673</v>
      </c>
      <c r="V57" s="53" t="s">
        <v>673</v>
      </c>
    </row>
    <row r="58" spans="1:22" s="26" customFormat="1" x14ac:dyDescent="0.2">
      <c r="A58" s="75" t="str">
        <f>VLOOKUP("&lt;Zeilentitel_46&gt;",Uebersetzungen!$B$3:$E$931,Uebersetzungen!$B$2+1,FALSE)</f>
        <v>F41</v>
      </c>
      <c r="B58" s="83" t="str">
        <f>VLOOKUP("&lt;Zeilentitel_46.1&gt;",Uebersetzungen!$B$3:$E$931,Uebersetzungen!$B$2+1,FALSE)</f>
        <v>Gebäude und Hochbauarbeiten</v>
      </c>
      <c r="C58" s="32"/>
      <c r="D58" s="46" t="s">
        <v>673</v>
      </c>
      <c r="E58" s="65" t="s">
        <v>673</v>
      </c>
      <c r="F58" s="65" t="s">
        <v>673</v>
      </c>
      <c r="G58" s="65" t="s">
        <v>673</v>
      </c>
      <c r="H58" s="65" t="s">
        <v>673</v>
      </c>
      <c r="I58" s="65" t="s">
        <v>673</v>
      </c>
      <c r="J58" s="65" t="s">
        <v>673</v>
      </c>
      <c r="K58" s="93" t="s">
        <v>673</v>
      </c>
      <c r="L58" s="66" t="s">
        <v>673</v>
      </c>
      <c r="M58" s="44"/>
      <c r="N58" s="54" t="s">
        <v>673</v>
      </c>
      <c r="O58" s="55" t="s">
        <v>673</v>
      </c>
      <c r="P58" s="55" t="s">
        <v>673</v>
      </c>
      <c r="Q58" s="55" t="s">
        <v>673</v>
      </c>
      <c r="R58" s="55" t="s">
        <v>673</v>
      </c>
      <c r="S58" s="55" t="s">
        <v>673</v>
      </c>
      <c r="T58" s="55" t="s">
        <v>673</v>
      </c>
      <c r="U58" s="99" t="s">
        <v>673</v>
      </c>
      <c r="V58" s="56" t="s">
        <v>673</v>
      </c>
    </row>
    <row r="59" spans="1:22" s="26" customFormat="1" x14ac:dyDescent="0.2">
      <c r="A59" s="75" t="str">
        <f>VLOOKUP("&lt;Zeilentitel_47&gt;",Uebersetzungen!$B$3:$E$931,Uebersetzungen!$B$2+1,FALSE)</f>
        <v>F42</v>
      </c>
      <c r="B59" s="83" t="str">
        <f>VLOOKUP("&lt;Zeilentitel_47.1&gt;",Uebersetzungen!$B$3:$E$931,Uebersetzungen!$B$2+1,FALSE)</f>
        <v>Tiefbauten und Tiefbauarbeiten</v>
      </c>
      <c r="C59" s="32"/>
      <c r="D59" s="46" t="s">
        <v>673</v>
      </c>
      <c r="E59" s="65" t="s">
        <v>673</v>
      </c>
      <c r="F59" s="65" t="s">
        <v>673</v>
      </c>
      <c r="G59" s="65" t="s">
        <v>673</v>
      </c>
      <c r="H59" s="65" t="s">
        <v>673</v>
      </c>
      <c r="I59" s="65" t="s">
        <v>673</v>
      </c>
      <c r="J59" s="65" t="s">
        <v>673</v>
      </c>
      <c r="K59" s="93" t="s">
        <v>673</v>
      </c>
      <c r="L59" s="66" t="s">
        <v>673</v>
      </c>
      <c r="M59" s="44"/>
      <c r="N59" s="54" t="s">
        <v>673</v>
      </c>
      <c r="O59" s="55" t="s">
        <v>673</v>
      </c>
      <c r="P59" s="55" t="s">
        <v>673</v>
      </c>
      <c r="Q59" s="55" t="s">
        <v>673</v>
      </c>
      <c r="R59" s="55" t="s">
        <v>673</v>
      </c>
      <c r="S59" s="55" t="s">
        <v>673</v>
      </c>
      <c r="T59" s="55" t="s">
        <v>673</v>
      </c>
      <c r="U59" s="99" t="s">
        <v>673</v>
      </c>
      <c r="V59" s="56" t="s">
        <v>673</v>
      </c>
    </row>
    <row r="60" spans="1:22" s="26" customFormat="1" x14ac:dyDescent="0.2">
      <c r="A60" s="75" t="str">
        <f>VLOOKUP("&lt;Zeilentitel_48&gt;",Uebersetzungen!$B$3:$E$931,Uebersetzungen!$B$2+1,FALSE)</f>
        <v>F43</v>
      </c>
      <c r="B60" s="83" t="str">
        <f>VLOOKUP("&lt;Zeilentitel_48.1&gt;",Uebersetzungen!$B$3:$E$931,Uebersetzungen!$B$2+1,FALSE)</f>
        <v>Vorbereitende Baustellenarbeiten, Bauinstallationsarbeiten und sonstige Ausbauarbeiten</v>
      </c>
      <c r="C60" s="32"/>
      <c r="D60" s="46" t="s">
        <v>673</v>
      </c>
      <c r="E60" s="65" t="s">
        <v>673</v>
      </c>
      <c r="F60" s="65" t="s">
        <v>673</v>
      </c>
      <c r="G60" s="65" t="s">
        <v>673</v>
      </c>
      <c r="H60" s="65" t="s">
        <v>673</v>
      </c>
      <c r="I60" s="65" t="s">
        <v>673</v>
      </c>
      <c r="J60" s="65" t="s">
        <v>673</v>
      </c>
      <c r="K60" s="93" t="s">
        <v>673</v>
      </c>
      <c r="L60" s="66" t="s">
        <v>673</v>
      </c>
      <c r="M60" s="44"/>
      <c r="N60" s="54" t="s">
        <v>673</v>
      </c>
      <c r="O60" s="55" t="s">
        <v>673</v>
      </c>
      <c r="P60" s="55" t="s">
        <v>673</v>
      </c>
      <c r="Q60" s="55" t="s">
        <v>673</v>
      </c>
      <c r="R60" s="55" t="s">
        <v>673</v>
      </c>
      <c r="S60" s="55" t="s">
        <v>673</v>
      </c>
      <c r="T60" s="55" t="s">
        <v>673</v>
      </c>
      <c r="U60" s="99" t="s">
        <v>673</v>
      </c>
      <c r="V60" s="56" t="s">
        <v>673</v>
      </c>
    </row>
    <row r="61" spans="1:22" s="26" customFormat="1" x14ac:dyDescent="0.2">
      <c r="A61" s="77" t="str">
        <f>VLOOKUP("&lt;Zeilentitel_49&gt;",Uebersetzungen!$B$3:$E$931,Uebersetzungen!$B$2+1,FALSE)</f>
        <v>G</v>
      </c>
      <c r="B61" s="84" t="str">
        <f>VLOOKUP("&lt;Zeilentitel_49.1&gt;",Uebersetzungen!$B$3:$E$931,Uebersetzungen!$B$2+1,FALSE)</f>
        <v>HANDELSLEISTUNGEN; INSTANDHALTUNGS- UND REPARATURARBEITEN AN KRAFTFAHRZEUGEN</v>
      </c>
      <c r="C61" s="32"/>
      <c r="D61" s="45" t="s">
        <v>673</v>
      </c>
      <c r="E61" s="63" t="s">
        <v>673</v>
      </c>
      <c r="F61" s="63" t="s">
        <v>673</v>
      </c>
      <c r="G61" s="63" t="s">
        <v>673</v>
      </c>
      <c r="H61" s="63" t="s">
        <v>673</v>
      </c>
      <c r="I61" s="63" t="s">
        <v>673</v>
      </c>
      <c r="J61" s="63" t="s">
        <v>673</v>
      </c>
      <c r="K61" s="92" t="s">
        <v>673</v>
      </c>
      <c r="L61" s="64" t="s">
        <v>673</v>
      </c>
      <c r="M61" s="43"/>
      <c r="N61" s="51" t="s">
        <v>673</v>
      </c>
      <c r="O61" s="52" t="s">
        <v>673</v>
      </c>
      <c r="P61" s="52" t="s">
        <v>673</v>
      </c>
      <c r="Q61" s="52" t="s">
        <v>673</v>
      </c>
      <c r="R61" s="52" t="s">
        <v>673</v>
      </c>
      <c r="S61" s="52" t="s">
        <v>673</v>
      </c>
      <c r="T61" s="52" t="s">
        <v>673</v>
      </c>
      <c r="U61" s="98" t="s">
        <v>673</v>
      </c>
      <c r="V61" s="53" t="s">
        <v>673</v>
      </c>
    </row>
    <row r="62" spans="1:22" s="26" customFormat="1" x14ac:dyDescent="0.2">
      <c r="A62" s="75" t="str">
        <f>VLOOKUP("&lt;Zeilentitel_50&gt;",Uebersetzungen!$B$3:$E$931,Uebersetzungen!$B$2+1,FALSE)</f>
        <v>G45</v>
      </c>
      <c r="B62" s="83" t="str">
        <f>VLOOKUP("&lt;Zeilentitel_50.1&gt;",Uebersetzungen!$B$3:$E$931,Uebersetzungen!$B$2+1,FALSE)</f>
        <v>Handelsleistungen mit Kraftfahrzeugen; Instandhaltungs- und Reparaturarbeiten an Kraftfahrzeugen</v>
      </c>
      <c r="C62" s="32"/>
      <c r="D62" s="46" t="s">
        <v>673</v>
      </c>
      <c r="E62" s="65" t="s">
        <v>673</v>
      </c>
      <c r="F62" s="65" t="s">
        <v>673</v>
      </c>
      <c r="G62" s="65" t="s">
        <v>673</v>
      </c>
      <c r="H62" s="65" t="s">
        <v>673</v>
      </c>
      <c r="I62" s="65" t="s">
        <v>673</v>
      </c>
      <c r="J62" s="65" t="s">
        <v>673</v>
      </c>
      <c r="K62" s="93" t="s">
        <v>673</v>
      </c>
      <c r="L62" s="66" t="s">
        <v>673</v>
      </c>
      <c r="M62" s="44"/>
      <c r="N62" s="54" t="s">
        <v>673</v>
      </c>
      <c r="O62" s="55" t="s">
        <v>673</v>
      </c>
      <c r="P62" s="55" t="s">
        <v>673</v>
      </c>
      <c r="Q62" s="55" t="s">
        <v>673</v>
      </c>
      <c r="R62" s="55" t="s">
        <v>673</v>
      </c>
      <c r="S62" s="55" t="s">
        <v>673</v>
      </c>
      <c r="T62" s="55" t="s">
        <v>673</v>
      </c>
      <c r="U62" s="99" t="s">
        <v>673</v>
      </c>
      <c r="V62" s="56" t="s">
        <v>673</v>
      </c>
    </row>
    <row r="63" spans="1:22" s="26" customFormat="1" x14ac:dyDescent="0.2">
      <c r="A63" s="75" t="str">
        <f>VLOOKUP("&lt;Zeilentitel_51&gt;",Uebersetzungen!$B$3:$E$931,Uebersetzungen!$B$2+1,FALSE)</f>
        <v>G46</v>
      </c>
      <c r="B63" s="83" t="str">
        <f>VLOOKUP("&lt;Zeilentitel_51.1&gt;",Uebersetzungen!$B$3:$E$931,Uebersetzungen!$B$2+1,FALSE)</f>
        <v>Großhandelsleistungen (ohne Handelsleistungen mit Kraftfahrzeugen)</v>
      </c>
      <c r="C63" s="32"/>
      <c r="D63" s="46" t="s">
        <v>673</v>
      </c>
      <c r="E63" s="65" t="s">
        <v>673</v>
      </c>
      <c r="F63" s="65" t="s">
        <v>673</v>
      </c>
      <c r="G63" s="65" t="s">
        <v>673</v>
      </c>
      <c r="H63" s="65" t="s">
        <v>673</v>
      </c>
      <c r="I63" s="65" t="s">
        <v>673</v>
      </c>
      <c r="J63" s="65" t="s">
        <v>673</v>
      </c>
      <c r="K63" s="93" t="s">
        <v>673</v>
      </c>
      <c r="L63" s="66" t="s">
        <v>673</v>
      </c>
      <c r="M63" s="44"/>
      <c r="N63" s="54" t="s">
        <v>673</v>
      </c>
      <c r="O63" s="55" t="s">
        <v>673</v>
      </c>
      <c r="P63" s="55" t="s">
        <v>673</v>
      </c>
      <c r="Q63" s="55" t="s">
        <v>673</v>
      </c>
      <c r="R63" s="55" t="s">
        <v>673</v>
      </c>
      <c r="S63" s="55" t="s">
        <v>673</v>
      </c>
      <c r="T63" s="55" t="s">
        <v>673</v>
      </c>
      <c r="U63" s="99" t="s">
        <v>673</v>
      </c>
      <c r="V63" s="56" t="s">
        <v>673</v>
      </c>
    </row>
    <row r="64" spans="1:22" s="26" customFormat="1" x14ac:dyDescent="0.2">
      <c r="A64" s="75" t="str">
        <f>VLOOKUP("&lt;Zeilentitel_52&gt;",Uebersetzungen!$B$3:$E$931,Uebersetzungen!$B$2+1,FALSE)</f>
        <v>G47</v>
      </c>
      <c r="B64" s="83" t="str">
        <f>VLOOKUP("&lt;Zeilentitel_52.1&gt;",Uebersetzungen!$B$3:$E$931,Uebersetzungen!$B$2+1,FALSE)</f>
        <v>Einzelhandelsleistungen (ohne Handelsleistungen mit Kraftfahrzeugen)</v>
      </c>
      <c r="C64" s="32"/>
      <c r="D64" s="46" t="s">
        <v>673</v>
      </c>
      <c r="E64" s="65" t="s">
        <v>673</v>
      </c>
      <c r="F64" s="65" t="s">
        <v>673</v>
      </c>
      <c r="G64" s="65" t="s">
        <v>673</v>
      </c>
      <c r="H64" s="65" t="s">
        <v>673</v>
      </c>
      <c r="I64" s="65" t="s">
        <v>673</v>
      </c>
      <c r="J64" s="65" t="s">
        <v>673</v>
      </c>
      <c r="K64" s="93" t="s">
        <v>673</v>
      </c>
      <c r="L64" s="66" t="s">
        <v>673</v>
      </c>
      <c r="M64" s="44"/>
      <c r="N64" s="54" t="s">
        <v>673</v>
      </c>
      <c r="O64" s="55" t="s">
        <v>673</v>
      </c>
      <c r="P64" s="55" t="s">
        <v>673</v>
      </c>
      <c r="Q64" s="55" t="s">
        <v>673</v>
      </c>
      <c r="R64" s="55" t="s">
        <v>673</v>
      </c>
      <c r="S64" s="55" t="s">
        <v>673</v>
      </c>
      <c r="T64" s="55" t="s">
        <v>673</v>
      </c>
      <c r="U64" s="99" t="s">
        <v>673</v>
      </c>
      <c r="V64" s="56" t="s">
        <v>673</v>
      </c>
    </row>
    <row r="65" spans="1:22" s="26" customFormat="1" x14ac:dyDescent="0.2">
      <c r="A65" s="77" t="str">
        <f>VLOOKUP("&lt;Zeilentitel_53&gt;",Uebersetzungen!$B$3:$E$931,Uebersetzungen!$B$2+1,FALSE)</f>
        <v>H</v>
      </c>
      <c r="B65" s="84" t="str">
        <f>VLOOKUP("&lt;Zeilentitel_53.1&gt;",Uebersetzungen!$B$3:$E$931,Uebersetzungen!$B$2+1,FALSE)</f>
        <v>VERKEHRS- UND LAGEREILEISTUNGEN</v>
      </c>
      <c r="C65" s="32"/>
      <c r="D65" s="45" t="s">
        <v>673</v>
      </c>
      <c r="E65" s="63" t="s">
        <v>673</v>
      </c>
      <c r="F65" s="63" t="s">
        <v>673</v>
      </c>
      <c r="G65" s="63" t="s">
        <v>673</v>
      </c>
      <c r="H65" s="63" t="s">
        <v>673</v>
      </c>
      <c r="I65" s="63" t="s">
        <v>673</v>
      </c>
      <c r="J65" s="63" t="s">
        <v>673</v>
      </c>
      <c r="K65" s="92" t="s">
        <v>673</v>
      </c>
      <c r="L65" s="64" t="s">
        <v>673</v>
      </c>
      <c r="M65" s="43"/>
      <c r="N65" s="51" t="s">
        <v>673</v>
      </c>
      <c r="O65" s="52" t="s">
        <v>673</v>
      </c>
      <c r="P65" s="52" t="s">
        <v>673</v>
      </c>
      <c r="Q65" s="52" t="s">
        <v>673</v>
      </c>
      <c r="R65" s="52" t="s">
        <v>673</v>
      </c>
      <c r="S65" s="52" t="s">
        <v>673</v>
      </c>
      <c r="T65" s="52" t="s">
        <v>673</v>
      </c>
      <c r="U65" s="98" t="s">
        <v>673</v>
      </c>
      <c r="V65" s="53" t="s">
        <v>673</v>
      </c>
    </row>
    <row r="66" spans="1:22" s="26" customFormat="1" x14ac:dyDescent="0.2">
      <c r="A66" s="75" t="str">
        <f>VLOOKUP("&lt;Zeilentitel_54&gt;",Uebersetzungen!$B$3:$E$931,Uebersetzungen!$B$2+1,FALSE)</f>
        <v>H49</v>
      </c>
      <c r="B66" s="83" t="str">
        <f>VLOOKUP("&lt;Zeilentitel_54.1&gt;",Uebersetzungen!$B$3:$E$931,Uebersetzungen!$B$2+1,FALSE)</f>
        <v>Landverkehrsleistungen und Transportleistungen in Rohrfernleitungen</v>
      </c>
      <c r="C66" s="32"/>
      <c r="D66" s="46" t="s">
        <v>673</v>
      </c>
      <c r="E66" s="65" t="s">
        <v>673</v>
      </c>
      <c r="F66" s="65" t="s">
        <v>673</v>
      </c>
      <c r="G66" s="65" t="s">
        <v>673</v>
      </c>
      <c r="H66" s="65" t="s">
        <v>673</v>
      </c>
      <c r="I66" s="65" t="s">
        <v>673</v>
      </c>
      <c r="J66" s="65" t="s">
        <v>673</v>
      </c>
      <c r="K66" s="93" t="s">
        <v>673</v>
      </c>
      <c r="L66" s="66" t="s">
        <v>673</v>
      </c>
      <c r="M66" s="44"/>
      <c r="N66" s="54" t="s">
        <v>673</v>
      </c>
      <c r="O66" s="55" t="s">
        <v>673</v>
      </c>
      <c r="P66" s="55" t="s">
        <v>673</v>
      </c>
      <c r="Q66" s="55" t="s">
        <v>673</v>
      </c>
      <c r="R66" s="55" t="s">
        <v>673</v>
      </c>
      <c r="S66" s="55" t="s">
        <v>673</v>
      </c>
      <c r="T66" s="55" t="s">
        <v>673</v>
      </c>
      <c r="U66" s="99" t="s">
        <v>673</v>
      </c>
      <c r="V66" s="56" t="s">
        <v>673</v>
      </c>
    </row>
    <row r="67" spans="1:22" s="26" customFormat="1" x14ac:dyDescent="0.2">
      <c r="A67" s="75" t="str">
        <f>VLOOKUP("&lt;Zeilentitel_55&gt;",Uebersetzungen!$B$3:$E$931,Uebersetzungen!$B$2+1,FALSE)</f>
        <v>H50</v>
      </c>
      <c r="B67" s="83" t="str">
        <f>VLOOKUP("&lt;Zeilentitel_55.1&gt;",Uebersetzungen!$B$3:$E$931,Uebersetzungen!$B$2+1,FALSE)</f>
        <v>Schifffahrtsleistungen</v>
      </c>
      <c r="C67" s="32"/>
      <c r="D67" s="46" t="s">
        <v>673</v>
      </c>
      <c r="E67" s="65" t="s">
        <v>673</v>
      </c>
      <c r="F67" s="65" t="s">
        <v>673</v>
      </c>
      <c r="G67" s="65" t="s">
        <v>673</v>
      </c>
      <c r="H67" s="65" t="s">
        <v>673</v>
      </c>
      <c r="I67" s="65" t="s">
        <v>673</v>
      </c>
      <c r="J67" s="65" t="s">
        <v>673</v>
      </c>
      <c r="K67" s="93" t="s">
        <v>673</v>
      </c>
      <c r="L67" s="66" t="s">
        <v>673</v>
      </c>
      <c r="M67" s="44"/>
      <c r="N67" s="54" t="s">
        <v>673</v>
      </c>
      <c r="O67" s="55" t="s">
        <v>673</v>
      </c>
      <c r="P67" s="55" t="s">
        <v>673</v>
      </c>
      <c r="Q67" s="55" t="s">
        <v>673</v>
      </c>
      <c r="R67" s="55" t="s">
        <v>673</v>
      </c>
      <c r="S67" s="55" t="s">
        <v>673</v>
      </c>
      <c r="T67" s="55" t="s">
        <v>673</v>
      </c>
      <c r="U67" s="99" t="s">
        <v>673</v>
      </c>
      <c r="V67" s="56" t="s">
        <v>673</v>
      </c>
    </row>
    <row r="68" spans="1:22" s="26" customFormat="1" x14ac:dyDescent="0.2">
      <c r="A68" s="75" t="str">
        <f>VLOOKUP("&lt;Zeilentitel_56&gt;",Uebersetzungen!$B$3:$E$931,Uebersetzungen!$B$2+1,FALSE)</f>
        <v>H51</v>
      </c>
      <c r="B68" s="83" t="str">
        <f>VLOOKUP("&lt;Zeilentitel_56.1&gt;",Uebersetzungen!$B$3:$E$931,Uebersetzungen!$B$2+1,FALSE)</f>
        <v>Luftfahrtleistungen</v>
      </c>
      <c r="C68" s="32"/>
      <c r="D68" s="46" t="s">
        <v>673</v>
      </c>
      <c r="E68" s="65" t="s">
        <v>673</v>
      </c>
      <c r="F68" s="65" t="s">
        <v>673</v>
      </c>
      <c r="G68" s="65" t="s">
        <v>673</v>
      </c>
      <c r="H68" s="65" t="s">
        <v>673</v>
      </c>
      <c r="I68" s="65" t="s">
        <v>673</v>
      </c>
      <c r="J68" s="65" t="s">
        <v>673</v>
      </c>
      <c r="K68" s="93" t="s">
        <v>673</v>
      </c>
      <c r="L68" s="66" t="s">
        <v>673</v>
      </c>
      <c r="M68" s="44"/>
      <c r="N68" s="54" t="s">
        <v>673</v>
      </c>
      <c r="O68" s="55" t="s">
        <v>673</v>
      </c>
      <c r="P68" s="55" t="s">
        <v>673</v>
      </c>
      <c r="Q68" s="55" t="s">
        <v>673</v>
      </c>
      <c r="R68" s="55" t="s">
        <v>673</v>
      </c>
      <c r="S68" s="55" t="s">
        <v>673</v>
      </c>
      <c r="T68" s="55" t="s">
        <v>673</v>
      </c>
      <c r="U68" s="99" t="s">
        <v>673</v>
      </c>
      <c r="V68" s="56" t="s">
        <v>673</v>
      </c>
    </row>
    <row r="69" spans="1:22" s="26" customFormat="1" x14ac:dyDescent="0.2">
      <c r="A69" s="75" t="str">
        <f>VLOOKUP("&lt;Zeilentitel_57&gt;",Uebersetzungen!$B$3:$E$931,Uebersetzungen!$B$2+1,FALSE)</f>
        <v>H52</v>
      </c>
      <c r="B69" s="83" t="str">
        <f>VLOOKUP("&lt;Zeilentitel_57.1&gt;",Uebersetzungen!$B$3:$E$931,Uebersetzungen!$B$2+1,FALSE)</f>
        <v>Lagereileistungen sowie sonstige Unterstützungsdienstleistungen für den Verkehr</v>
      </c>
      <c r="C69" s="32"/>
      <c r="D69" s="46" t="s">
        <v>673</v>
      </c>
      <c r="E69" s="65" t="s">
        <v>673</v>
      </c>
      <c r="F69" s="65" t="s">
        <v>673</v>
      </c>
      <c r="G69" s="65" t="s">
        <v>673</v>
      </c>
      <c r="H69" s="65" t="s">
        <v>673</v>
      </c>
      <c r="I69" s="65" t="s">
        <v>673</v>
      </c>
      <c r="J69" s="65" t="s">
        <v>673</v>
      </c>
      <c r="K69" s="93" t="s">
        <v>673</v>
      </c>
      <c r="L69" s="66" t="s">
        <v>673</v>
      </c>
      <c r="M69" s="44"/>
      <c r="N69" s="54" t="s">
        <v>673</v>
      </c>
      <c r="O69" s="55" t="s">
        <v>673</v>
      </c>
      <c r="P69" s="55" t="s">
        <v>673</v>
      </c>
      <c r="Q69" s="55" t="s">
        <v>673</v>
      </c>
      <c r="R69" s="55" t="s">
        <v>673</v>
      </c>
      <c r="S69" s="55" t="s">
        <v>673</v>
      </c>
      <c r="T69" s="55" t="s">
        <v>673</v>
      </c>
      <c r="U69" s="99" t="s">
        <v>673</v>
      </c>
      <c r="V69" s="56" t="s">
        <v>673</v>
      </c>
    </row>
    <row r="70" spans="1:22" s="26" customFormat="1" x14ac:dyDescent="0.2">
      <c r="A70" s="75" t="str">
        <f>VLOOKUP("&lt;Zeilentitel_58&gt;",Uebersetzungen!$B$3:$E$931,Uebersetzungen!$B$2+1,FALSE)</f>
        <v>H53</v>
      </c>
      <c r="B70" s="83" t="str">
        <f>VLOOKUP("&lt;Zeilentitel_58.1&gt;",Uebersetzungen!$B$3:$E$931,Uebersetzungen!$B$2+1,FALSE)</f>
        <v>Postdienstleistungen und Dienstleistungen privater Kurier- und Expressdienste</v>
      </c>
      <c r="C70" s="32"/>
      <c r="D70" s="46" t="s">
        <v>673</v>
      </c>
      <c r="E70" s="65" t="s">
        <v>673</v>
      </c>
      <c r="F70" s="65" t="s">
        <v>673</v>
      </c>
      <c r="G70" s="65" t="s">
        <v>673</v>
      </c>
      <c r="H70" s="65" t="s">
        <v>673</v>
      </c>
      <c r="I70" s="65" t="s">
        <v>673</v>
      </c>
      <c r="J70" s="65" t="s">
        <v>673</v>
      </c>
      <c r="K70" s="93" t="s">
        <v>673</v>
      </c>
      <c r="L70" s="66" t="s">
        <v>673</v>
      </c>
      <c r="M70" s="44"/>
      <c r="N70" s="54" t="s">
        <v>673</v>
      </c>
      <c r="O70" s="55" t="s">
        <v>673</v>
      </c>
      <c r="P70" s="55" t="s">
        <v>673</v>
      </c>
      <c r="Q70" s="55" t="s">
        <v>673</v>
      </c>
      <c r="R70" s="55" t="s">
        <v>673</v>
      </c>
      <c r="S70" s="55" t="s">
        <v>673</v>
      </c>
      <c r="T70" s="55" t="s">
        <v>673</v>
      </c>
      <c r="U70" s="99" t="s">
        <v>673</v>
      </c>
      <c r="V70" s="56" t="s">
        <v>673</v>
      </c>
    </row>
    <row r="71" spans="1:22" s="26" customFormat="1" x14ac:dyDescent="0.2">
      <c r="A71" s="77" t="str">
        <f>VLOOKUP("&lt;Zeilentitel_59&gt;",Uebersetzungen!$B$3:$E$931,Uebersetzungen!$B$2+1,FALSE)</f>
        <v>I</v>
      </c>
      <c r="B71" s="84" t="str">
        <f>VLOOKUP("&lt;Zeilentitel_59.1&gt;",Uebersetzungen!$B$3:$E$931,Uebersetzungen!$B$2+1,FALSE)</f>
        <v>BEHERBERGUNGS- UND GASTRONOMIEDIENSTLEISTUNGEN</v>
      </c>
      <c r="C71" s="32"/>
      <c r="D71" s="45" t="s">
        <v>673</v>
      </c>
      <c r="E71" s="63" t="s">
        <v>673</v>
      </c>
      <c r="F71" s="63" t="s">
        <v>673</v>
      </c>
      <c r="G71" s="63" t="s">
        <v>673</v>
      </c>
      <c r="H71" s="63" t="s">
        <v>673</v>
      </c>
      <c r="I71" s="63" t="s">
        <v>673</v>
      </c>
      <c r="J71" s="63" t="s">
        <v>673</v>
      </c>
      <c r="K71" s="92" t="s">
        <v>673</v>
      </c>
      <c r="L71" s="64" t="s">
        <v>673</v>
      </c>
      <c r="M71" s="43"/>
      <c r="N71" s="51" t="s">
        <v>673</v>
      </c>
      <c r="O71" s="52" t="s">
        <v>673</v>
      </c>
      <c r="P71" s="52" t="s">
        <v>673</v>
      </c>
      <c r="Q71" s="52" t="s">
        <v>673</v>
      </c>
      <c r="R71" s="52" t="s">
        <v>673</v>
      </c>
      <c r="S71" s="52" t="s">
        <v>673</v>
      </c>
      <c r="T71" s="52" t="s">
        <v>673</v>
      </c>
      <c r="U71" s="98" t="s">
        <v>673</v>
      </c>
      <c r="V71" s="53" t="s">
        <v>673</v>
      </c>
    </row>
    <row r="72" spans="1:22" s="26" customFormat="1" x14ac:dyDescent="0.2">
      <c r="A72" s="75" t="str">
        <f>VLOOKUP("&lt;Zeilentitel_60&gt;",Uebersetzungen!$B$3:$E$931,Uebersetzungen!$B$2+1,FALSE)</f>
        <v>I55</v>
      </c>
      <c r="B72" s="83" t="str">
        <f>VLOOKUP("&lt;Zeilentitel_60.1&gt;",Uebersetzungen!$B$3:$E$931,Uebersetzungen!$B$2+1,FALSE)</f>
        <v>Beherbergungsdienstleistungen</v>
      </c>
      <c r="C72" s="32"/>
      <c r="D72" s="46" t="s">
        <v>673</v>
      </c>
      <c r="E72" s="65" t="s">
        <v>673</v>
      </c>
      <c r="F72" s="65" t="s">
        <v>673</v>
      </c>
      <c r="G72" s="65" t="s">
        <v>673</v>
      </c>
      <c r="H72" s="65" t="s">
        <v>673</v>
      </c>
      <c r="I72" s="65" t="s">
        <v>673</v>
      </c>
      <c r="J72" s="65" t="s">
        <v>673</v>
      </c>
      <c r="K72" s="93" t="s">
        <v>673</v>
      </c>
      <c r="L72" s="66" t="s">
        <v>673</v>
      </c>
      <c r="M72" s="44"/>
      <c r="N72" s="54" t="s">
        <v>673</v>
      </c>
      <c r="O72" s="55" t="s">
        <v>673</v>
      </c>
      <c r="P72" s="55" t="s">
        <v>673</v>
      </c>
      <c r="Q72" s="55" t="s">
        <v>673</v>
      </c>
      <c r="R72" s="55" t="s">
        <v>673</v>
      </c>
      <c r="S72" s="55" t="s">
        <v>673</v>
      </c>
      <c r="T72" s="55" t="s">
        <v>673</v>
      </c>
      <c r="U72" s="99" t="s">
        <v>673</v>
      </c>
      <c r="V72" s="56" t="s">
        <v>673</v>
      </c>
    </row>
    <row r="73" spans="1:22" s="26" customFormat="1" x14ac:dyDescent="0.2">
      <c r="A73" s="75" t="str">
        <f>VLOOKUP("&lt;Zeilentitel_61&gt;",Uebersetzungen!$B$3:$E$931,Uebersetzungen!$B$2+1,FALSE)</f>
        <v>I56</v>
      </c>
      <c r="B73" s="83" t="str">
        <f>VLOOKUP("&lt;Zeilentitel_61.1&gt;",Uebersetzungen!$B$3:$E$931,Uebersetzungen!$B$2+1,FALSE)</f>
        <v>Gastronomiedienstleistungen</v>
      </c>
      <c r="C73" s="32"/>
      <c r="D73" s="46" t="s">
        <v>673</v>
      </c>
      <c r="E73" s="65" t="s">
        <v>673</v>
      </c>
      <c r="F73" s="65" t="s">
        <v>673</v>
      </c>
      <c r="G73" s="65" t="s">
        <v>673</v>
      </c>
      <c r="H73" s="65" t="s">
        <v>673</v>
      </c>
      <c r="I73" s="65" t="s">
        <v>673</v>
      </c>
      <c r="J73" s="65" t="s">
        <v>673</v>
      </c>
      <c r="K73" s="93" t="s">
        <v>673</v>
      </c>
      <c r="L73" s="66" t="s">
        <v>673</v>
      </c>
      <c r="M73" s="44"/>
      <c r="N73" s="54" t="s">
        <v>673</v>
      </c>
      <c r="O73" s="55" t="s">
        <v>673</v>
      </c>
      <c r="P73" s="55" t="s">
        <v>673</v>
      </c>
      <c r="Q73" s="55" t="s">
        <v>673</v>
      </c>
      <c r="R73" s="55" t="s">
        <v>673</v>
      </c>
      <c r="S73" s="55" t="s">
        <v>673</v>
      </c>
      <c r="T73" s="55" t="s">
        <v>673</v>
      </c>
      <c r="U73" s="99" t="s">
        <v>673</v>
      </c>
      <c r="V73" s="56" t="s">
        <v>673</v>
      </c>
    </row>
    <row r="74" spans="1:22" s="26" customFormat="1" x14ac:dyDescent="0.2">
      <c r="A74" s="77" t="str">
        <f>VLOOKUP("&lt;Zeilentitel_62&gt;",Uebersetzungen!$B$3:$E$931,Uebersetzungen!$B$2+1,FALSE)</f>
        <v>J</v>
      </c>
      <c r="B74" s="84" t="str">
        <f>VLOOKUP("&lt;Zeilentitel_62.1&gt;",Uebersetzungen!$B$3:$E$931,Uebersetzungen!$B$2+1,FALSE)</f>
        <v>INFORMATIONS- UND KOMMUNIKATIONSDIENSTLEISTUNGEN</v>
      </c>
      <c r="C74" s="32"/>
      <c r="D74" s="45">
        <v>14526.768423157999</v>
      </c>
      <c r="E74" s="63">
        <v>12252.5190933551</v>
      </c>
      <c r="F74" s="63">
        <v>14757.862050358601</v>
      </c>
      <c r="G74" s="63">
        <v>15424.6640711157</v>
      </c>
      <c r="H74" s="63">
        <v>10905.797702346799</v>
      </c>
      <c r="I74" s="63">
        <v>10803.509743455701</v>
      </c>
      <c r="J74" s="63">
        <v>10156.442412991799</v>
      </c>
      <c r="K74" s="92">
        <v>10659.334904503099</v>
      </c>
      <c r="L74" s="64">
        <v>12964.7898531396</v>
      </c>
      <c r="M74" s="43"/>
      <c r="N74" s="51" t="s">
        <v>673</v>
      </c>
      <c r="O74" s="52">
        <v>-15.6555764059497</v>
      </c>
      <c r="P74" s="52">
        <v>20.447574396045798</v>
      </c>
      <c r="Q74" s="52">
        <v>4.5182833291283302</v>
      </c>
      <c r="R74" s="52">
        <v>-29.296368127919401</v>
      </c>
      <c r="S74" s="52">
        <v>-0.93792276074485204</v>
      </c>
      <c r="T74" s="52">
        <v>-5.9894177524657604</v>
      </c>
      <c r="U74" s="98">
        <v>4.9514630326468003</v>
      </c>
      <c r="V74" s="53">
        <v>21.628506555906299</v>
      </c>
    </row>
    <row r="75" spans="1:22" s="26" customFormat="1" x14ac:dyDescent="0.2">
      <c r="A75" s="75" t="str">
        <f>VLOOKUP("&lt;Zeilentitel_63&gt;",Uebersetzungen!$B$3:$E$931,Uebersetzungen!$B$2+1,FALSE)</f>
        <v>J58</v>
      </c>
      <c r="B75" s="83" t="str">
        <f>VLOOKUP("&lt;Zeilentitel_63.1&gt;",Uebersetzungen!$B$3:$E$931,Uebersetzungen!$B$2+1,FALSE)</f>
        <v>Dienstleistungen des Verlagswesens</v>
      </c>
      <c r="C75" s="32"/>
      <c r="D75" s="46">
        <v>13930.1301948155</v>
      </c>
      <c r="E75" s="65">
        <v>10978.305912152</v>
      </c>
      <c r="F75" s="65">
        <v>13109.1771324232</v>
      </c>
      <c r="G75" s="65">
        <v>14264.6817385463</v>
      </c>
      <c r="H75" s="65">
        <v>9860.8285554846698</v>
      </c>
      <c r="I75" s="65">
        <v>9768.79097133293</v>
      </c>
      <c r="J75" s="65">
        <v>9513.1286719413692</v>
      </c>
      <c r="K75" s="93">
        <v>9755.7452452756406</v>
      </c>
      <c r="L75" s="66">
        <v>12716.835013501299</v>
      </c>
      <c r="M75" s="44"/>
      <c r="N75" s="54" t="s">
        <v>673</v>
      </c>
      <c r="O75" s="55">
        <v>-21.190213166579898</v>
      </c>
      <c r="P75" s="55">
        <v>19.409836429430499</v>
      </c>
      <c r="Q75" s="55">
        <v>8.81447091949968</v>
      </c>
      <c r="R75" s="55">
        <v>-30.872425083003801</v>
      </c>
      <c r="S75" s="55">
        <v>-0.93336562575718796</v>
      </c>
      <c r="T75" s="55">
        <v>-2.6171334829644501</v>
      </c>
      <c r="U75" s="99">
        <v>2.5503341928913699</v>
      </c>
      <c r="V75" s="56">
        <v>30.3522662162549</v>
      </c>
    </row>
    <row r="76" spans="1:22" s="26" customFormat="1" ht="28.5" x14ac:dyDescent="0.2">
      <c r="A76" s="75" t="str">
        <f>VLOOKUP("&lt;Zeilentitel_64&gt;",Uebersetzungen!$B$3:$E$931,Uebersetzungen!$B$2+1,FALSE)</f>
        <v>J59</v>
      </c>
      <c r="B76" s="83" t="str">
        <f>VLOOKUP("&lt;Zeilentitel_64.1&gt;",Uebersetzungen!$B$3:$E$931,Uebersetzungen!$B$2+1,FALSE)</f>
        <v>Dienstleistungen der Herstellung, des Verleihs und Vertriebs von Filmen und Fernsehprogrammen, von Kinos und Tonstudios; Verlagsleistungen bezüglich Musik</v>
      </c>
      <c r="C76" s="32"/>
      <c r="D76" s="46">
        <v>596.63822834251903</v>
      </c>
      <c r="E76" s="65">
        <v>1274.21318120314</v>
      </c>
      <c r="F76" s="65">
        <v>1648.6849179354301</v>
      </c>
      <c r="G76" s="65">
        <v>1159.9823325694699</v>
      </c>
      <c r="H76" s="65">
        <v>1044.9691468620501</v>
      </c>
      <c r="I76" s="65">
        <v>1034.7187721226401</v>
      </c>
      <c r="J76" s="65">
        <v>643.313741050359</v>
      </c>
      <c r="K76" s="93">
        <v>903.58965922746791</v>
      </c>
      <c r="L76" s="66">
        <v>247.95483963818799</v>
      </c>
      <c r="M76" s="44"/>
      <c r="N76" s="54" t="s">
        <v>673</v>
      </c>
      <c r="O76" s="55">
        <v>113.565460721976</v>
      </c>
      <c r="P76" s="55">
        <v>29.388468292151501</v>
      </c>
      <c r="Q76" s="55">
        <v>-29.641963728153801</v>
      </c>
      <c r="R76" s="55">
        <v>-9.9150808144337699</v>
      </c>
      <c r="S76" s="55">
        <v>-0.98092606563514895</v>
      </c>
      <c r="T76" s="55">
        <v>-37.827189533765399</v>
      </c>
      <c r="U76" s="99">
        <v>40.4586287481049</v>
      </c>
      <c r="V76" s="56">
        <v>-72.558911325946497</v>
      </c>
    </row>
    <row r="77" spans="1:22" s="26" customFormat="1" x14ac:dyDescent="0.2">
      <c r="A77" s="75" t="str">
        <f>VLOOKUP("&lt;Zeilentitel_65&gt;",Uebersetzungen!$B$3:$E$931,Uebersetzungen!$B$2+1,FALSE)</f>
        <v>J60</v>
      </c>
      <c r="B77" s="83" t="str">
        <f>VLOOKUP("&lt;Zeilentitel_65.1&gt;",Uebersetzungen!$B$3:$E$931,Uebersetzungen!$B$2+1,FALSE)</f>
        <v>Rundfunkveranstaltungsleistungen</v>
      </c>
      <c r="C77" s="32"/>
      <c r="D77" s="46" t="s">
        <v>673</v>
      </c>
      <c r="E77" s="65" t="s">
        <v>673</v>
      </c>
      <c r="F77" s="65" t="s">
        <v>673</v>
      </c>
      <c r="G77" s="65" t="s">
        <v>673</v>
      </c>
      <c r="H77" s="65" t="s">
        <v>673</v>
      </c>
      <c r="I77" s="65" t="s">
        <v>673</v>
      </c>
      <c r="J77" s="65" t="s">
        <v>673</v>
      </c>
      <c r="K77" s="93" t="s">
        <v>673</v>
      </c>
      <c r="L77" s="66" t="s">
        <v>673</v>
      </c>
      <c r="M77" s="44"/>
      <c r="N77" s="54" t="s">
        <v>673</v>
      </c>
      <c r="O77" s="55" t="s">
        <v>673</v>
      </c>
      <c r="P77" s="55" t="s">
        <v>673</v>
      </c>
      <c r="Q77" s="55" t="s">
        <v>673</v>
      </c>
      <c r="R77" s="55" t="s">
        <v>673</v>
      </c>
      <c r="S77" s="55" t="s">
        <v>673</v>
      </c>
      <c r="T77" s="55" t="s">
        <v>673</v>
      </c>
      <c r="U77" s="99" t="s">
        <v>673</v>
      </c>
      <c r="V77" s="56" t="s">
        <v>673</v>
      </c>
    </row>
    <row r="78" spans="1:22" s="26" customFormat="1" x14ac:dyDescent="0.2">
      <c r="A78" s="75" t="str">
        <f>VLOOKUP("&lt;Zeilentitel_66&gt;",Uebersetzungen!$B$3:$E$931,Uebersetzungen!$B$2+1,FALSE)</f>
        <v>J61</v>
      </c>
      <c r="B78" s="83" t="str">
        <f>VLOOKUP("&lt;Zeilentitel_66.1&gt;",Uebersetzungen!$B$3:$E$931,Uebersetzungen!$B$2+1,FALSE)</f>
        <v>Telekommunikationsdienstleistungen</v>
      </c>
      <c r="C78" s="32"/>
      <c r="D78" s="46" t="s">
        <v>673</v>
      </c>
      <c r="E78" s="65" t="s">
        <v>673</v>
      </c>
      <c r="F78" s="65" t="s">
        <v>673</v>
      </c>
      <c r="G78" s="65" t="s">
        <v>673</v>
      </c>
      <c r="H78" s="65" t="s">
        <v>673</v>
      </c>
      <c r="I78" s="65" t="s">
        <v>673</v>
      </c>
      <c r="J78" s="65" t="s">
        <v>673</v>
      </c>
      <c r="K78" s="93" t="s">
        <v>673</v>
      </c>
      <c r="L78" s="66" t="s">
        <v>673</v>
      </c>
      <c r="M78" s="44"/>
      <c r="N78" s="54" t="s">
        <v>673</v>
      </c>
      <c r="O78" s="55" t="s">
        <v>673</v>
      </c>
      <c r="P78" s="55" t="s">
        <v>673</v>
      </c>
      <c r="Q78" s="55" t="s">
        <v>673</v>
      </c>
      <c r="R78" s="55" t="s">
        <v>673</v>
      </c>
      <c r="S78" s="55" t="s">
        <v>673</v>
      </c>
      <c r="T78" s="55" t="s">
        <v>673</v>
      </c>
      <c r="U78" s="99" t="s">
        <v>673</v>
      </c>
      <c r="V78" s="56" t="s">
        <v>673</v>
      </c>
    </row>
    <row r="79" spans="1:22" s="26" customFormat="1" x14ac:dyDescent="0.2">
      <c r="A79" s="75" t="str">
        <f>VLOOKUP("&lt;Zeilentitel_67&gt;",Uebersetzungen!$B$3:$E$931,Uebersetzungen!$B$2+1,FALSE)</f>
        <v>J62</v>
      </c>
      <c r="B79" s="83" t="str">
        <f>VLOOKUP("&lt;Zeilentitel_67.1&gt;",Uebersetzungen!$B$3:$E$931,Uebersetzungen!$B$2+1,FALSE)</f>
        <v>Dienstleistungen der EDV-Programmierung und -Beratung und damit verbundene Dienstleistungen</v>
      </c>
      <c r="C79" s="32"/>
      <c r="D79" s="46" t="s">
        <v>673</v>
      </c>
      <c r="E79" s="65" t="s">
        <v>673</v>
      </c>
      <c r="F79" s="65" t="s">
        <v>673</v>
      </c>
      <c r="G79" s="65" t="s">
        <v>673</v>
      </c>
      <c r="H79" s="65" t="s">
        <v>673</v>
      </c>
      <c r="I79" s="65" t="s">
        <v>673</v>
      </c>
      <c r="J79" s="65" t="s">
        <v>673</v>
      </c>
      <c r="K79" s="93" t="s">
        <v>673</v>
      </c>
      <c r="L79" s="66" t="s">
        <v>673</v>
      </c>
      <c r="M79" s="44"/>
      <c r="N79" s="54" t="s">
        <v>673</v>
      </c>
      <c r="O79" s="55" t="s">
        <v>673</v>
      </c>
      <c r="P79" s="55" t="s">
        <v>673</v>
      </c>
      <c r="Q79" s="55" t="s">
        <v>673</v>
      </c>
      <c r="R79" s="55" t="s">
        <v>673</v>
      </c>
      <c r="S79" s="55" t="s">
        <v>673</v>
      </c>
      <c r="T79" s="55" t="s">
        <v>673</v>
      </c>
      <c r="U79" s="99" t="s">
        <v>673</v>
      </c>
      <c r="V79" s="56" t="s">
        <v>673</v>
      </c>
    </row>
    <row r="80" spans="1:22" s="26" customFormat="1" x14ac:dyDescent="0.2">
      <c r="A80" s="75" t="str">
        <f>VLOOKUP("&lt;Zeilentitel_68&gt;",Uebersetzungen!$B$3:$E$931,Uebersetzungen!$B$2+1,FALSE)</f>
        <v>J63</v>
      </c>
      <c r="B80" s="83" t="str">
        <f>VLOOKUP("&lt;Zeilentitel_68.1&gt;",Uebersetzungen!$B$3:$E$931,Uebersetzungen!$B$2+1,FALSE)</f>
        <v>Informationsdienstleistungen</v>
      </c>
      <c r="C80" s="32"/>
      <c r="D80" s="46" t="s">
        <v>673</v>
      </c>
      <c r="E80" s="65" t="s">
        <v>673</v>
      </c>
      <c r="F80" s="65" t="s">
        <v>673</v>
      </c>
      <c r="G80" s="65" t="s">
        <v>673</v>
      </c>
      <c r="H80" s="65" t="s">
        <v>673</v>
      </c>
      <c r="I80" s="65" t="s">
        <v>673</v>
      </c>
      <c r="J80" s="65" t="s">
        <v>673</v>
      </c>
      <c r="K80" s="93" t="s">
        <v>673</v>
      </c>
      <c r="L80" s="66" t="s">
        <v>673</v>
      </c>
      <c r="M80" s="44"/>
      <c r="N80" s="54" t="s">
        <v>673</v>
      </c>
      <c r="O80" s="55" t="s">
        <v>673</v>
      </c>
      <c r="P80" s="55" t="s">
        <v>673</v>
      </c>
      <c r="Q80" s="55" t="s">
        <v>673</v>
      </c>
      <c r="R80" s="55" t="s">
        <v>673</v>
      </c>
      <c r="S80" s="55" t="s">
        <v>673</v>
      </c>
      <c r="T80" s="55" t="s">
        <v>673</v>
      </c>
      <c r="U80" s="99" t="s">
        <v>673</v>
      </c>
      <c r="V80" s="56" t="s">
        <v>673</v>
      </c>
    </row>
    <row r="81" spans="1:22" s="26" customFormat="1" x14ac:dyDescent="0.2">
      <c r="A81" s="77" t="str">
        <f>VLOOKUP("&lt;Zeilentitel_69&gt;",Uebersetzungen!$B$3:$E$931,Uebersetzungen!$B$2+1,FALSE)</f>
        <v>K</v>
      </c>
      <c r="B81" s="84" t="str">
        <f>VLOOKUP("&lt;Zeilentitel_69.1&gt;",Uebersetzungen!$B$3:$E$931,Uebersetzungen!$B$2+1,FALSE)</f>
        <v>FINANZ- UND VERSICHERUNGSDIENSTLEISTUNGEN</v>
      </c>
      <c r="C81" s="32"/>
      <c r="D81" s="45" t="s">
        <v>673</v>
      </c>
      <c r="E81" s="63" t="s">
        <v>673</v>
      </c>
      <c r="F81" s="63" t="s">
        <v>673</v>
      </c>
      <c r="G81" s="63" t="s">
        <v>673</v>
      </c>
      <c r="H81" s="63" t="s">
        <v>673</v>
      </c>
      <c r="I81" s="63" t="s">
        <v>673</v>
      </c>
      <c r="J81" s="63" t="s">
        <v>673</v>
      </c>
      <c r="K81" s="92" t="s">
        <v>673</v>
      </c>
      <c r="L81" s="64" t="s">
        <v>673</v>
      </c>
      <c r="M81" s="43"/>
      <c r="N81" s="51" t="s">
        <v>673</v>
      </c>
      <c r="O81" s="52" t="s">
        <v>673</v>
      </c>
      <c r="P81" s="52" t="s">
        <v>673</v>
      </c>
      <c r="Q81" s="52" t="s">
        <v>673</v>
      </c>
      <c r="R81" s="52" t="s">
        <v>673</v>
      </c>
      <c r="S81" s="52" t="s">
        <v>673</v>
      </c>
      <c r="T81" s="52" t="s">
        <v>673</v>
      </c>
      <c r="U81" s="98" t="s">
        <v>673</v>
      </c>
      <c r="V81" s="53" t="s">
        <v>673</v>
      </c>
    </row>
    <row r="82" spans="1:22" s="26" customFormat="1" x14ac:dyDescent="0.2">
      <c r="A82" s="75" t="str">
        <f>VLOOKUP("&lt;Zeilentitel_70&gt;",Uebersetzungen!$B$3:$E$931,Uebersetzungen!$B$2+1,FALSE)</f>
        <v>K64</v>
      </c>
      <c r="B82" s="83" t="str">
        <f>VLOOKUP("&lt;Zeilentitel_70.1&gt;",Uebersetzungen!$B$3:$E$931,Uebersetzungen!$B$2+1,FALSE)</f>
        <v>Finanzdienstleistungen, außer Versicherungen und Pensionen</v>
      </c>
      <c r="C82" s="32"/>
      <c r="D82" s="46" t="s">
        <v>673</v>
      </c>
      <c r="E82" s="65" t="s">
        <v>673</v>
      </c>
      <c r="F82" s="65" t="s">
        <v>673</v>
      </c>
      <c r="G82" s="65" t="s">
        <v>673</v>
      </c>
      <c r="H82" s="65" t="s">
        <v>673</v>
      </c>
      <c r="I82" s="65" t="s">
        <v>673</v>
      </c>
      <c r="J82" s="65" t="s">
        <v>673</v>
      </c>
      <c r="K82" s="93" t="s">
        <v>673</v>
      </c>
      <c r="L82" s="66" t="s">
        <v>673</v>
      </c>
      <c r="M82" s="44"/>
      <c r="N82" s="54" t="s">
        <v>673</v>
      </c>
      <c r="O82" s="55" t="s">
        <v>673</v>
      </c>
      <c r="P82" s="55" t="s">
        <v>673</v>
      </c>
      <c r="Q82" s="55" t="s">
        <v>673</v>
      </c>
      <c r="R82" s="55" t="s">
        <v>673</v>
      </c>
      <c r="S82" s="55" t="s">
        <v>673</v>
      </c>
      <c r="T82" s="55" t="s">
        <v>673</v>
      </c>
      <c r="U82" s="99" t="s">
        <v>673</v>
      </c>
      <c r="V82" s="56" t="s">
        <v>673</v>
      </c>
    </row>
    <row r="83" spans="1:22" s="26" customFormat="1" x14ac:dyDescent="0.2">
      <c r="A83" s="75" t="str">
        <f>VLOOKUP("&lt;Zeilentitel_71&gt;",Uebersetzungen!$B$3:$E$931,Uebersetzungen!$B$2+1,FALSE)</f>
        <v>K65</v>
      </c>
      <c r="B83" s="83" t="str">
        <f>VLOOKUP("&lt;Zeilentitel_71.1&gt;",Uebersetzungen!$B$3:$E$931,Uebersetzungen!$B$2+1,FALSE)</f>
        <v>Dienstleistungen von Versicherungen, Rückversicherungen und Pensionskassen (ohne Sozialversicherung)</v>
      </c>
      <c r="C83" s="32"/>
      <c r="D83" s="46" t="s">
        <v>673</v>
      </c>
      <c r="E83" s="65" t="s">
        <v>673</v>
      </c>
      <c r="F83" s="65" t="s">
        <v>673</v>
      </c>
      <c r="G83" s="65" t="s">
        <v>673</v>
      </c>
      <c r="H83" s="65" t="s">
        <v>673</v>
      </c>
      <c r="I83" s="65" t="s">
        <v>673</v>
      </c>
      <c r="J83" s="65" t="s">
        <v>673</v>
      </c>
      <c r="K83" s="93" t="s">
        <v>673</v>
      </c>
      <c r="L83" s="66" t="s">
        <v>673</v>
      </c>
      <c r="M83" s="44"/>
      <c r="N83" s="54" t="s">
        <v>673</v>
      </c>
      <c r="O83" s="55" t="s">
        <v>673</v>
      </c>
      <c r="P83" s="55" t="s">
        <v>673</v>
      </c>
      <c r="Q83" s="55" t="s">
        <v>673</v>
      </c>
      <c r="R83" s="55" t="s">
        <v>673</v>
      </c>
      <c r="S83" s="55" t="s">
        <v>673</v>
      </c>
      <c r="T83" s="55" t="s">
        <v>673</v>
      </c>
      <c r="U83" s="99" t="s">
        <v>673</v>
      </c>
      <c r="V83" s="56" t="s">
        <v>673</v>
      </c>
    </row>
    <row r="84" spans="1:22" s="26" customFormat="1" x14ac:dyDescent="0.2">
      <c r="A84" s="75" t="str">
        <f>VLOOKUP("&lt;Zeilentitel_72&gt;",Uebersetzungen!$B$3:$E$931,Uebersetzungen!$B$2+1,FALSE)</f>
        <v>K66</v>
      </c>
      <c r="B84" s="83" t="str">
        <f>VLOOKUP("&lt;Zeilentitel_72.1&gt;",Uebersetzungen!$B$3:$E$931,Uebersetzungen!$B$2+1,FALSE)</f>
        <v>Mit den Finanz- und Versicherungsdienstleistungen verbundene Dienstleistungen</v>
      </c>
      <c r="C84" s="32"/>
      <c r="D84" s="46" t="s">
        <v>673</v>
      </c>
      <c r="E84" s="65" t="s">
        <v>673</v>
      </c>
      <c r="F84" s="65" t="s">
        <v>673</v>
      </c>
      <c r="G84" s="65" t="s">
        <v>673</v>
      </c>
      <c r="H84" s="65" t="s">
        <v>673</v>
      </c>
      <c r="I84" s="65" t="s">
        <v>673</v>
      </c>
      <c r="J84" s="65" t="s">
        <v>673</v>
      </c>
      <c r="K84" s="93" t="s">
        <v>673</v>
      </c>
      <c r="L84" s="66" t="s">
        <v>673</v>
      </c>
      <c r="M84" s="44"/>
      <c r="N84" s="54" t="s">
        <v>673</v>
      </c>
      <c r="O84" s="55" t="s">
        <v>673</v>
      </c>
      <c r="P84" s="55" t="s">
        <v>673</v>
      </c>
      <c r="Q84" s="55" t="s">
        <v>673</v>
      </c>
      <c r="R84" s="55" t="s">
        <v>673</v>
      </c>
      <c r="S84" s="55" t="s">
        <v>673</v>
      </c>
      <c r="T84" s="55" t="s">
        <v>673</v>
      </c>
      <c r="U84" s="99" t="s">
        <v>673</v>
      </c>
      <c r="V84" s="56" t="s">
        <v>673</v>
      </c>
    </row>
    <row r="85" spans="1:22" s="26" customFormat="1" x14ac:dyDescent="0.2">
      <c r="A85" s="77" t="str">
        <f>VLOOKUP("&lt;Zeilentitel_73&gt;",Uebersetzungen!$B$3:$E$931,Uebersetzungen!$B$2+1,FALSE)</f>
        <v>L</v>
      </c>
      <c r="B85" s="84" t="str">
        <f>VLOOKUP("&lt;Zeilentitel_73.1&gt;",Uebersetzungen!$B$3:$E$931,Uebersetzungen!$B$2+1,FALSE)</f>
        <v>DIENSTLEISTUNGEN DES GRUNDSTÜCKS- UND WOHNUNGSWESENS</v>
      </c>
      <c r="C85" s="32"/>
      <c r="D85" s="45" t="s">
        <v>673</v>
      </c>
      <c r="E85" s="63" t="s">
        <v>673</v>
      </c>
      <c r="F85" s="63" t="s">
        <v>673</v>
      </c>
      <c r="G85" s="63" t="s">
        <v>673</v>
      </c>
      <c r="H85" s="63" t="s">
        <v>673</v>
      </c>
      <c r="I85" s="63" t="s">
        <v>673</v>
      </c>
      <c r="J85" s="63" t="s">
        <v>673</v>
      </c>
      <c r="K85" s="92" t="s">
        <v>673</v>
      </c>
      <c r="L85" s="64" t="s">
        <v>673</v>
      </c>
      <c r="M85" s="43"/>
      <c r="N85" s="51" t="s">
        <v>673</v>
      </c>
      <c r="O85" s="52" t="s">
        <v>673</v>
      </c>
      <c r="P85" s="52" t="s">
        <v>673</v>
      </c>
      <c r="Q85" s="52" t="s">
        <v>673</v>
      </c>
      <c r="R85" s="52" t="s">
        <v>673</v>
      </c>
      <c r="S85" s="52" t="s">
        <v>673</v>
      </c>
      <c r="T85" s="52" t="s">
        <v>673</v>
      </c>
      <c r="U85" s="98" t="s">
        <v>673</v>
      </c>
      <c r="V85" s="53" t="s">
        <v>673</v>
      </c>
    </row>
    <row r="86" spans="1:22" s="26" customFormat="1" x14ac:dyDescent="0.2">
      <c r="A86" s="75" t="str">
        <f>VLOOKUP("&lt;Zeilentitel_74&gt;",Uebersetzungen!$B$3:$E$931,Uebersetzungen!$B$2+1,FALSE)</f>
        <v>L68</v>
      </c>
      <c r="B86" s="83" t="str">
        <f>VLOOKUP("&lt;Zeilentitel_74.1&gt;",Uebersetzungen!$B$3:$E$931,Uebersetzungen!$B$2+1,FALSE)</f>
        <v>Dienstleistungen des Grundstücks- und Wohnungswesens</v>
      </c>
      <c r="C86" s="32"/>
      <c r="D86" s="46" t="s">
        <v>673</v>
      </c>
      <c r="E86" s="65" t="s">
        <v>673</v>
      </c>
      <c r="F86" s="65" t="s">
        <v>673</v>
      </c>
      <c r="G86" s="65" t="s">
        <v>673</v>
      </c>
      <c r="H86" s="65" t="s">
        <v>673</v>
      </c>
      <c r="I86" s="65" t="s">
        <v>673</v>
      </c>
      <c r="J86" s="65" t="s">
        <v>673</v>
      </c>
      <c r="K86" s="93" t="s">
        <v>673</v>
      </c>
      <c r="L86" s="66" t="s">
        <v>673</v>
      </c>
      <c r="M86" s="44"/>
      <c r="N86" s="54" t="s">
        <v>673</v>
      </c>
      <c r="O86" s="55" t="s">
        <v>673</v>
      </c>
      <c r="P86" s="55" t="s">
        <v>673</v>
      </c>
      <c r="Q86" s="55" t="s">
        <v>673</v>
      </c>
      <c r="R86" s="55" t="s">
        <v>673</v>
      </c>
      <c r="S86" s="55" t="s">
        <v>673</v>
      </c>
      <c r="T86" s="55" t="s">
        <v>673</v>
      </c>
      <c r="U86" s="99" t="s">
        <v>673</v>
      </c>
      <c r="V86" s="56" t="s">
        <v>673</v>
      </c>
    </row>
    <row r="87" spans="1:22" s="26" customFormat="1" x14ac:dyDescent="0.2">
      <c r="A87" s="77" t="str">
        <f>VLOOKUP("&lt;Zeilentitel_75&gt;",Uebersetzungen!$B$3:$E$931,Uebersetzungen!$B$2+1,FALSE)</f>
        <v>M</v>
      </c>
      <c r="B87" s="84" t="str">
        <f>VLOOKUP("&lt;Zeilentitel_75.1&gt;",Uebersetzungen!$B$3:$E$931,Uebersetzungen!$B$2+1,FALSE)</f>
        <v>FREIBERUFLICHE, WISSENSCHAFTLICHE UND TECHNISCHE DIENSTLEISTUNGEN</v>
      </c>
      <c r="C87" s="32"/>
      <c r="D87" s="45">
        <v>21.637537528704698</v>
      </c>
      <c r="E87" s="63">
        <v>13.5220809994898</v>
      </c>
      <c r="F87" s="63">
        <v>49.2674055153689</v>
      </c>
      <c r="G87" s="63">
        <v>4.2007887583739505</v>
      </c>
      <c r="H87" s="63">
        <v>2.8640864380327797</v>
      </c>
      <c r="I87" s="63">
        <v>5.2657704870661499</v>
      </c>
      <c r="J87" s="63">
        <v>36.780136476574299</v>
      </c>
      <c r="K87" s="92">
        <v>6.2956135343922801</v>
      </c>
      <c r="L87" s="64">
        <v>4.5688451521145002</v>
      </c>
      <c r="M87" s="43"/>
      <c r="N87" s="51" t="s">
        <v>673</v>
      </c>
      <c r="O87" s="52">
        <v>-37.506377601650797</v>
      </c>
      <c r="P87" s="52">
        <v>264.34780650424898</v>
      </c>
      <c r="Q87" s="52">
        <v>-91.473493043867506</v>
      </c>
      <c r="R87" s="52">
        <v>-31.820269888043299</v>
      </c>
      <c r="S87" s="52">
        <v>83.855152454232098</v>
      </c>
      <c r="T87" s="52">
        <v>598.475874839477</v>
      </c>
      <c r="U87" s="98">
        <v>-82.883115351129703</v>
      </c>
      <c r="V87" s="53">
        <v>-27.428119163360702</v>
      </c>
    </row>
    <row r="88" spans="1:22" s="26" customFormat="1" x14ac:dyDescent="0.2">
      <c r="A88" s="75" t="str">
        <f>VLOOKUP("&lt;Zeilentitel_76&gt;",Uebersetzungen!$B$3:$E$931,Uebersetzungen!$B$2+1,FALSE)</f>
        <v>M69</v>
      </c>
      <c r="B88" s="83" t="str">
        <f>VLOOKUP("&lt;Zeilentitel_76.1&gt;",Uebersetzungen!$B$3:$E$931,Uebersetzungen!$B$2+1,FALSE)</f>
        <v>Rechts-, Steuerberatungs- und Wirtschaftsprüfungsleistungen</v>
      </c>
      <c r="C88" s="32"/>
      <c r="D88" s="46" t="s">
        <v>673</v>
      </c>
      <c r="E88" s="65" t="s">
        <v>673</v>
      </c>
      <c r="F88" s="65" t="s">
        <v>673</v>
      </c>
      <c r="G88" s="65" t="s">
        <v>673</v>
      </c>
      <c r="H88" s="65" t="s">
        <v>673</v>
      </c>
      <c r="I88" s="65" t="s">
        <v>673</v>
      </c>
      <c r="J88" s="65" t="s">
        <v>673</v>
      </c>
      <c r="K88" s="93" t="s">
        <v>673</v>
      </c>
      <c r="L88" s="66" t="s">
        <v>673</v>
      </c>
      <c r="M88" s="44"/>
      <c r="N88" s="54" t="s">
        <v>673</v>
      </c>
      <c r="O88" s="55" t="s">
        <v>673</v>
      </c>
      <c r="P88" s="55" t="s">
        <v>673</v>
      </c>
      <c r="Q88" s="55" t="s">
        <v>673</v>
      </c>
      <c r="R88" s="55" t="s">
        <v>673</v>
      </c>
      <c r="S88" s="55" t="s">
        <v>673</v>
      </c>
      <c r="T88" s="55" t="s">
        <v>673</v>
      </c>
      <c r="U88" s="99" t="s">
        <v>673</v>
      </c>
      <c r="V88" s="56" t="s">
        <v>673</v>
      </c>
    </row>
    <row r="89" spans="1:22" s="26" customFormat="1" x14ac:dyDescent="0.2">
      <c r="A89" s="75" t="str">
        <f>VLOOKUP("&lt;Zeilentitel_77&gt;",Uebersetzungen!$B$3:$E$931,Uebersetzungen!$B$2+1,FALSE)</f>
        <v>M70</v>
      </c>
      <c r="B89" s="83" t="str">
        <f>VLOOKUP("&lt;Zeilentitel_77.1&gt;",Uebersetzungen!$B$3:$E$931,Uebersetzungen!$B$2+1,FALSE)</f>
        <v>Dienstleistungen der Verwaltung und Führung von Unternehmen und Betrieben; Unternehmensberatungsleistungen</v>
      </c>
      <c r="C89" s="32"/>
      <c r="D89" s="46" t="s">
        <v>673</v>
      </c>
      <c r="E89" s="65" t="s">
        <v>673</v>
      </c>
      <c r="F89" s="65" t="s">
        <v>673</v>
      </c>
      <c r="G89" s="65" t="s">
        <v>673</v>
      </c>
      <c r="H89" s="65" t="s">
        <v>673</v>
      </c>
      <c r="I89" s="65" t="s">
        <v>673</v>
      </c>
      <c r="J89" s="65" t="s">
        <v>673</v>
      </c>
      <c r="K89" s="93" t="s">
        <v>673</v>
      </c>
      <c r="L89" s="66" t="s">
        <v>673</v>
      </c>
      <c r="M89" s="44"/>
      <c r="N89" s="54" t="s">
        <v>673</v>
      </c>
      <c r="O89" s="55" t="s">
        <v>673</v>
      </c>
      <c r="P89" s="55" t="s">
        <v>673</v>
      </c>
      <c r="Q89" s="55" t="s">
        <v>673</v>
      </c>
      <c r="R89" s="55" t="s">
        <v>673</v>
      </c>
      <c r="S89" s="55" t="s">
        <v>673</v>
      </c>
      <c r="T89" s="55" t="s">
        <v>673</v>
      </c>
      <c r="U89" s="99" t="s">
        <v>673</v>
      </c>
      <c r="V89" s="56" t="s">
        <v>673</v>
      </c>
    </row>
    <row r="90" spans="1:22" s="26" customFormat="1" ht="28.5" x14ac:dyDescent="0.2">
      <c r="A90" s="75" t="str">
        <f>VLOOKUP("&lt;Zeilentitel_78&gt;",Uebersetzungen!$B$3:$E$931,Uebersetzungen!$B$2+1,FALSE)</f>
        <v>M71</v>
      </c>
      <c r="B90" s="83" t="str">
        <f>VLOOKUP("&lt;Zeilentitel_78.1&gt;",Uebersetzungen!$B$3:$E$931,Uebersetzungen!$B$2+1,FALSE)</f>
        <v>Dienstleistungen von Architektur- und Ingenieurbüros und der technischen, physikalischen und chemischen Untersuchung</v>
      </c>
      <c r="C90" s="32"/>
      <c r="D90" s="46" t="s">
        <v>673</v>
      </c>
      <c r="E90" s="65">
        <v>9.9149564725833805</v>
      </c>
      <c r="F90" s="65">
        <v>41.568171203673302</v>
      </c>
      <c r="G90" s="65" t="s">
        <v>673</v>
      </c>
      <c r="H90" s="65" t="s">
        <v>673</v>
      </c>
      <c r="I90" s="65" t="s">
        <v>673</v>
      </c>
      <c r="J90" s="65" t="s">
        <v>673</v>
      </c>
      <c r="K90" s="93" t="s">
        <v>673</v>
      </c>
      <c r="L90" s="66" t="s">
        <v>673</v>
      </c>
      <c r="M90" s="44"/>
      <c r="N90" s="54" t="s">
        <v>673</v>
      </c>
      <c r="O90" s="55" t="s">
        <v>673</v>
      </c>
      <c r="P90" s="55">
        <v>319.24713758065099</v>
      </c>
      <c r="Q90" s="55" t="s">
        <v>673</v>
      </c>
      <c r="R90" s="55" t="s">
        <v>673</v>
      </c>
      <c r="S90" s="55" t="s">
        <v>673</v>
      </c>
      <c r="T90" s="55" t="s">
        <v>673</v>
      </c>
      <c r="U90" s="99" t="s">
        <v>673</v>
      </c>
      <c r="V90" s="56" t="s">
        <v>673</v>
      </c>
    </row>
    <row r="91" spans="1:22" s="26" customFormat="1" x14ac:dyDescent="0.2">
      <c r="A91" s="75" t="str">
        <f>VLOOKUP("&lt;Zeilentitel_79&gt;",Uebersetzungen!$B$3:$E$931,Uebersetzungen!$B$2+1,FALSE)</f>
        <v>M72</v>
      </c>
      <c r="B91" s="83" t="str">
        <f>VLOOKUP("&lt;Zeilentitel_79.1&gt;",Uebersetzungen!$B$3:$E$931,Uebersetzungen!$B$2+1,FALSE)</f>
        <v>Forschungs- und Entwicklungsleistungen</v>
      </c>
      <c r="C91" s="32"/>
      <c r="D91" s="46" t="s">
        <v>673</v>
      </c>
      <c r="E91" s="65" t="s">
        <v>673</v>
      </c>
      <c r="F91" s="65" t="s">
        <v>673</v>
      </c>
      <c r="G91" s="65" t="s">
        <v>673</v>
      </c>
      <c r="H91" s="65" t="s">
        <v>673</v>
      </c>
      <c r="I91" s="65" t="s">
        <v>673</v>
      </c>
      <c r="J91" s="65" t="s">
        <v>673</v>
      </c>
      <c r="K91" s="93" t="s">
        <v>673</v>
      </c>
      <c r="L91" s="66" t="s">
        <v>673</v>
      </c>
      <c r="M91" s="44"/>
      <c r="N91" s="54" t="s">
        <v>673</v>
      </c>
      <c r="O91" s="55" t="s">
        <v>673</v>
      </c>
      <c r="P91" s="55" t="s">
        <v>673</v>
      </c>
      <c r="Q91" s="55" t="s">
        <v>673</v>
      </c>
      <c r="R91" s="55" t="s">
        <v>673</v>
      </c>
      <c r="S91" s="55" t="s">
        <v>673</v>
      </c>
      <c r="T91" s="55" t="s">
        <v>673</v>
      </c>
      <c r="U91" s="99" t="s">
        <v>673</v>
      </c>
      <c r="V91" s="56" t="s">
        <v>673</v>
      </c>
    </row>
    <row r="92" spans="1:22" s="26" customFormat="1" x14ac:dyDescent="0.2">
      <c r="A92" s="75" t="str">
        <f>VLOOKUP("&lt;Zeilentitel_80&gt;",Uebersetzungen!$B$3:$E$931,Uebersetzungen!$B$2+1,FALSE)</f>
        <v>M73</v>
      </c>
      <c r="B92" s="83" t="str">
        <f>VLOOKUP("&lt;Zeilentitel_80.1&gt;",Uebersetzungen!$B$3:$E$931,Uebersetzungen!$B$2+1,FALSE)</f>
        <v>Werbe- und Marktforschungsleistungen</v>
      </c>
      <c r="C92" s="32"/>
      <c r="D92" s="46" t="s">
        <v>673</v>
      </c>
      <c r="E92" s="65" t="s">
        <v>673</v>
      </c>
      <c r="F92" s="65" t="s">
        <v>673</v>
      </c>
      <c r="G92" s="65" t="s">
        <v>673</v>
      </c>
      <c r="H92" s="65" t="s">
        <v>673</v>
      </c>
      <c r="I92" s="65" t="s">
        <v>673</v>
      </c>
      <c r="J92" s="65" t="s">
        <v>673</v>
      </c>
      <c r="K92" s="93" t="s">
        <v>673</v>
      </c>
      <c r="L92" s="66" t="s">
        <v>673</v>
      </c>
      <c r="M92" s="44"/>
      <c r="N92" s="54" t="s">
        <v>673</v>
      </c>
      <c r="O92" s="55" t="s">
        <v>673</v>
      </c>
      <c r="P92" s="55" t="s">
        <v>673</v>
      </c>
      <c r="Q92" s="55" t="s">
        <v>673</v>
      </c>
      <c r="R92" s="55" t="s">
        <v>673</v>
      </c>
      <c r="S92" s="55" t="s">
        <v>673</v>
      </c>
      <c r="T92" s="55" t="s">
        <v>673</v>
      </c>
      <c r="U92" s="99" t="s">
        <v>673</v>
      </c>
      <c r="V92" s="56" t="s">
        <v>673</v>
      </c>
    </row>
    <row r="93" spans="1:22" s="26" customFormat="1" x14ac:dyDescent="0.2">
      <c r="A93" s="75" t="str">
        <f>VLOOKUP("&lt;Zeilentitel_81&gt;",Uebersetzungen!$B$3:$E$931,Uebersetzungen!$B$2+1,FALSE)</f>
        <v>M74</v>
      </c>
      <c r="B93" s="83" t="str">
        <f>VLOOKUP("&lt;Zeilentitel_81.1&gt;",Uebersetzungen!$B$3:$E$931,Uebersetzungen!$B$2+1,FALSE)</f>
        <v>Sonstige freiberufliche, wissenschaftliche und technische Dienstleistungen</v>
      </c>
      <c r="C93" s="32"/>
      <c r="D93" s="46">
        <v>21.637537528704698</v>
      </c>
      <c r="E93" s="65">
        <v>3.60712452690644</v>
      </c>
      <c r="F93" s="65">
        <v>7.6992343116955997</v>
      </c>
      <c r="G93" s="65">
        <v>4.2007887583739505</v>
      </c>
      <c r="H93" s="65">
        <v>2.8640864380327797</v>
      </c>
      <c r="I93" s="65">
        <v>5.2657704870661499</v>
      </c>
      <c r="J93" s="65">
        <v>36.780136476574299</v>
      </c>
      <c r="K93" s="93">
        <v>6.2956135343922801</v>
      </c>
      <c r="L93" s="66">
        <v>4.5688451521145002</v>
      </c>
      <c r="M93" s="44"/>
      <c r="N93" s="54" t="s">
        <v>673</v>
      </c>
      <c r="O93" s="55">
        <v>-83.329320528636103</v>
      </c>
      <c r="P93" s="55">
        <v>113.445204185913</v>
      </c>
      <c r="Q93" s="55">
        <v>-45.438876278999501</v>
      </c>
      <c r="R93" s="55">
        <v>-31.820269888043299</v>
      </c>
      <c r="S93" s="55">
        <v>83.855152454232098</v>
      </c>
      <c r="T93" s="55">
        <v>598.475874839477</v>
      </c>
      <c r="U93" s="99">
        <v>-82.883115351129703</v>
      </c>
      <c r="V93" s="56">
        <v>-27.428119163360702</v>
      </c>
    </row>
    <row r="94" spans="1:22" s="26" customFormat="1" x14ac:dyDescent="0.2">
      <c r="A94" s="75" t="str">
        <f>VLOOKUP("&lt;Zeilentitel_82&gt;",Uebersetzungen!$B$3:$E$931,Uebersetzungen!$B$2+1,FALSE)</f>
        <v>M75</v>
      </c>
      <c r="B94" s="83" t="str">
        <f>VLOOKUP("&lt;Zeilentitel_82.1&gt;",Uebersetzungen!$B$3:$E$931,Uebersetzungen!$B$2+1,FALSE)</f>
        <v>Dienstleistungen des Veterinärwesens</v>
      </c>
      <c r="C94" s="32"/>
      <c r="D94" s="46" t="s">
        <v>673</v>
      </c>
      <c r="E94" s="65" t="s">
        <v>673</v>
      </c>
      <c r="F94" s="65" t="s">
        <v>673</v>
      </c>
      <c r="G94" s="65" t="s">
        <v>673</v>
      </c>
      <c r="H94" s="65" t="s">
        <v>673</v>
      </c>
      <c r="I94" s="65" t="s">
        <v>673</v>
      </c>
      <c r="J94" s="65" t="s">
        <v>673</v>
      </c>
      <c r="K94" s="93" t="s">
        <v>673</v>
      </c>
      <c r="L94" s="66" t="s">
        <v>673</v>
      </c>
      <c r="M94" s="44"/>
      <c r="N94" s="54" t="s">
        <v>673</v>
      </c>
      <c r="O94" s="55" t="s">
        <v>673</v>
      </c>
      <c r="P94" s="55" t="s">
        <v>673</v>
      </c>
      <c r="Q94" s="55" t="s">
        <v>673</v>
      </c>
      <c r="R94" s="55" t="s">
        <v>673</v>
      </c>
      <c r="S94" s="55" t="s">
        <v>673</v>
      </c>
      <c r="T94" s="55" t="s">
        <v>673</v>
      </c>
      <c r="U94" s="99" t="s">
        <v>673</v>
      </c>
      <c r="V94" s="56" t="s">
        <v>673</v>
      </c>
    </row>
    <row r="95" spans="1:22" s="26" customFormat="1" x14ac:dyDescent="0.2">
      <c r="A95" s="77" t="str">
        <f>VLOOKUP("&lt;Zeilentitel_83&gt;",Uebersetzungen!$B$3:$E$931,Uebersetzungen!$B$2+1,FALSE)</f>
        <v>N</v>
      </c>
      <c r="B95" s="84" t="str">
        <f>VLOOKUP("&lt;Zeilentitel_83.1&gt;",Uebersetzungen!$B$3:$E$931,Uebersetzungen!$B$2+1,FALSE)</f>
        <v>SONSTIGE WIRTSCHAFTLICHE DIENSTLEISTUNGEN</v>
      </c>
      <c r="C95" s="32"/>
      <c r="D95" s="45" t="s">
        <v>673</v>
      </c>
      <c r="E95" s="63" t="s">
        <v>673</v>
      </c>
      <c r="F95" s="63" t="s">
        <v>673</v>
      </c>
      <c r="G95" s="63" t="s">
        <v>673</v>
      </c>
      <c r="H95" s="63" t="s">
        <v>673</v>
      </c>
      <c r="I95" s="63" t="s">
        <v>673</v>
      </c>
      <c r="J95" s="63" t="s">
        <v>673</v>
      </c>
      <c r="K95" s="92" t="s">
        <v>673</v>
      </c>
      <c r="L95" s="64" t="s">
        <v>673</v>
      </c>
      <c r="M95" s="43"/>
      <c r="N95" s="51" t="s">
        <v>673</v>
      </c>
      <c r="O95" s="52" t="s">
        <v>673</v>
      </c>
      <c r="P95" s="52" t="s">
        <v>673</v>
      </c>
      <c r="Q95" s="52" t="s">
        <v>673</v>
      </c>
      <c r="R95" s="52" t="s">
        <v>673</v>
      </c>
      <c r="S95" s="52" t="s">
        <v>673</v>
      </c>
      <c r="T95" s="52" t="s">
        <v>673</v>
      </c>
      <c r="U95" s="98" t="s">
        <v>673</v>
      </c>
      <c r="V95" s="53" t="s">
        <v>673</v>
      </c>
    </row>
    <row r="96" spans="1:22" s="26" customFormat="1" x14ac:dyDescent="0.2">
      <c r="A96" s="75" t="str">
        <f>VLOOKUP("&lt;Zeilentitel_84&gt;",Uebersetzungen!$B$3:$E$931,Uebersetzungen!$B$2+1,FALSE)</f>
        <v>N77</v>
      </c>
      <c r="B96" s="83" t="str">
        <f>VLOOKUP("&lt;Zeilentitel_84.1&gt;",Uebersetzungen!$B$3:$E$931,Uebersetzungen!$B$2+1,FALSE)</f>
        <v>Dienstleistungen der Vermietung von beweglichen Sachen</v>
      </c>
      <c r="C96" s="32"/>
      <c r="D96" s="46" t="s">
        <v>673</v>
      </c>
      <c r="E96" s="65" t="s">
        <v>673</v>
      </c>
      <c r="F96" s="65" t="s">
        <v>673</v>
      </c>
      <c r="G96" s="65" t="s">
        <v>673</v>
      </c>
      <c r="H96" s="65" t="s">
        <v>673</v>
      </c>
      <c r="I96" s="65" t="s">
        <v>673</v>
      </c>
      <c r="J96" s="65" t="s">
        <v>673</v>
      </c>
      <c r="K96" s="93" t="s">
        <v>673</v>
      </c>
      <c r="L96" s="66" t="s">
        <v>673</v>
      </c>
      <c r="M96" s="44"/>
      <c r="N96" s="54" t="s">
        <v>673</v>
      </c>
      <c r="O96" s="55" t="s">
        <v>673</v>
      </c>
      <c r="P96" s="55" t="s">
        <v>673</v>
      </c>
      <c r="Q96" s="55" t="s">
        <v>673</v>
      </c>
      <c r="R96" s="55" t="s">
        <v>673</v>
      </c>
      <c r="S96" s="55" t="s">
        <v>673</v>
      </c>
      <c r="T96" s="55" t="s">
        <v>673</v>
      </c>
      <c r="U96" s="99" t="s">
        <v>673</v>
      </c>
      <c r="V96" s="56" t="s">
        <v>673</v>
      </c>
    </row>
    <row r="97" spans="1:22" s="26" customFormat="1" x14ac:dyDescent="0.2">
      <c r="A97" s="75" t="str">
        <f>VLOOKUP("&lt;Zeilentitel_85&gt;",Uebersetzungen!$B$3:$E$931,Uebersetzungen!$B$2+1,FALSE)</f>
        <v>N78</v>
      </c>
      <c r="B97" s="83" t="str">
        <f>VLOOKUP("&lt;Zeilentitel_85.1&gt;",Uebersetzungen!$B$3:$E$931,Uebersetzungen!$B$2+1,FALSE)</f>
        <v>Dienstleistungen der Vermittlung und Überlassung von Arbeitskräften und des Personalmanagements</v>
      </c>
      <c r="C97" s="32"/>
      <c r="D97" s="46" t="s">
        <v>673</v>
      </c>
      <c r="E97" s="65" t="s">
        <v>673</v>
      </c>
      <c r="F97" s="65" t="s">
        <v>673</v>
      </c>
      <c r="G97" s="65" t="s">
        <v>673</v>
      </c>
      <c r="H97" s="65" t="s">
        <v>673</v>
      </c>
      <c r="I97" s="65" t="s">
        <v>673</v>
      </c>
      <c r="J97" s="65" t="s">
        <v>673</v>
      </c>
      <c r="K97" s="93" t="s">
        <v>673</v>
      </c>
      <c r="L97" s="66" t="s">
        <v>673</v>
      </c>
      <c r="M97" s="44"/>
      <c r="N97" s="54" t="s">
        <v>673</v>
      </c>
      <c r="O97" s="55" t="s">
        <v>673</v>
      </c>
      <c r="P97" s="55" t="s">
        <v>673</v>
      </c>
      <c r="Q97" s="55" t="s">
        <v>673</v>
      </c>
      <c r="R97" s="55" t="s">
        <v>673</v>
      </c>
      <c r="S97" s="55" t="s">
        <v>673</v>
      </c>
      <c r="T97" s="55" t="s">
        <v>673</v>
      </c>
      <c r="U97" s="99" t="s">
        <v>673</v>
      </c>
      <c r="V97" s="56" t="s">
        <v>673</v>
      </c>
    </row>
    <row r="98" spans="1:22" s="26" customFormat="1" x14ac:dyDescent="0.2">
      <c r="A98" s="75" t="str">
        <f>VLOOKUP("&lt;Zeilentitel_86&gt;",Uebersetzungen!$B$3:$E$931,Uebersetzungen!$B$2+1,FALSE)</f>
        <v>N79</v>
      </c>
      <c r="B98" s="83" t="str">
        <f>VLOOKUP("&lt;Zeilentitel_86.1&gt;",Uebersetzungen!$B$3:$E$931,Uebersetzungen!$B$2+1,FALSE)</f>
        <v>Dienstleistungen von Reisebüros und Reiseveranstaltern und sonstige Reservierungsdienstleistungen</v>
      </c>
      <c r="C98" s="32"/>
      <c r="D98" s="46" t="s">
        <v>673</v>
      </c>
      <c r="E98" s="65" t="s">
        <v>673</v>
      </c>
      <c r="F98" s="65" t="s">
        <v>673</v>
      </c>
      <c r="G98" s="65" t="s">
        <v>673</v>
      </c>
      <c r="H98" s="65" t="s">
        <v>673</v>
      </c>
      <c r="I98" s="65" t="s">
        <v>673</v>
      </c>
      <c r="J98" s="65" t="s">
        <v>673</v>
      </c>
      <c r="K98" s="93" t="s">
        <v>673</v>
      </c>
      <c r="L98" s="66" t="s">
        <v>673</v>
      </c>
      <c r="M98" s="44"/>
      <c r="N98" s="54" t="s">
        <v>673</v>
      </c>
      <c r="O98" s="55" t="s">
        <v>673</v>
      </c>
      <c r="P98" s="55" t="s">
        <v>673</v>
      </c>
      <c r="Q98" s="55" t="s">
        <v>673</v>
      </c>
      <c r="R98" s="55" t="s">
        <v>673</v>
      </c>
      <c r="S98" s="55" t="s">
        <v>673</v>
      </c>
      <c r="T98" s="55" t="s">
        <v>673</v>
      </c>
      <c r="U98" s="99" t="s">
        <v>673</v>
      </c>
      <c r="V98" s="56" t="s">
        <v>673</v>
      </c>
    </row>
    <row r="99" spans="1:22" s="26" customFormat="1" x14ac:dyDescent="0.2">
      <c r="A99" s="75" t="str">
        <f>VLOOKUP("&lt;Zeilentitel_87&gt;",Uebersetzungen!$B$3:$E$931,Uebersetzungen!$B$2+1,FALSE)</f>
        <v>N80</v>
      </c>
      <c r="B99" s="83" t="str">
        <f>VLOOKUP("&lt;Zeilentitel_87.1&gt;",Uebersetzungen!$B$3:$E$931,Uebersetzungen!$B$2+1,FALSE)</f>
        <v>Wach-, Sicherheits- und Detekteileistungen</v>
      </c>
      <c r="C99" s="32"/>
      <c r="D99" s="46" t="s">
        <v>673</v>
      </c>
      <c r="E99" s="65" t="s">
        <v>673</v>
      </c>
      <c r="F99" s="65" t="s">
        <v>673</v>
      </c>
      <c r="G99" s="65" t="s">
        <v>673</v>
      </c>
      <c r="H99" s="65" t="s">
        <v>673</v>
      </c>
      <c r="I99" s="65" t="s">
        <v>673</v>
      </c>
      <c r="J99" s="65" t="s">
        <v>673</v>
      </c>
      <c r="K99" s="93" t="s">
        <v>673</v>
      </c>
      <c r="L99" s="66" t="s">
        <v>673</v>
      </c>
      <c r="M99" s="44"/>
      <c r="N99" s="54" t="s">
        <v>673</v>
      </c>
      <c r="O99" s="55" t="s">
        <v>673</v>
      </c>
      <c r="P99" s="55" t="s">
        <v>673</v>
      </c>
      <c r="Q99" s="55" t="s">
        <v>673</v>
      </c>
      <c r="R99" s="55" t="s">
        <v>673</v>
      </c>
      <c r="S99" s="55" t="s">
        <v>673</v>
      </c>
      <c r="T99" s="55" t="s">
        <v>673</v>
      </c>
      <c r="U99" s="99" t="s">
        <v>673</v>
      </c>
      <c r="V99" s="56" t="s">
        <v>673</v>
      </c>
    </row>
    <row r="100" spans="1:22" s="26" customFormat="1" x14ac:dyDescent="0.2">
      <c r="A100" s="75" t="str">
        <f>VLOOKUP("&lt;Zeilentitel_88&gt;",Uebersetzungen!$B$3:$E$931,Uebersetzungen!$B$2+1,FALSE)</f>
        <v>N81</v>
      </c>
      <c r="B100" s="83" t="str">
        <f>VLOOKUP("&lt;Zeilentitel_88.1&gt;",Uebersetzungen!$B$3:$E$931,Uebersetzungen!$B$2+1,FALSE)</f>
        <v>Dienstleistungen der Gebäudebetreuung und des Garten- und Landschaftsbaus</v>
      </c>
      <c r="C100" s="32"/>
      <c r="D100" s="46" t="s">
        <v>673</v>
      </c>
      <c r="E100" s="65" t="s">
        <v>673</v>
      </c>
      <c r="F100" s="65" t="s">
        <v>673</v>
      </c>
      <c r="G100" s="65" t="s">
        <v>673</v>
      </c>
      <c r="H100" s="65" t="s">
        <v>673</v>
      </c>
      <c r="I100" s="65" t="s">
        <v>673</v>
      </c>
      <c r="J100" s="65" t="s">
        <v>673</v>
      </c>
      <c r="K100" s="93" t="s">
        <v>673</v>
      </c>
      <c r="L100" s="66" t="s">
        <v>673</v>
      </c>
      <c r="M100" s="44"/>
      <c r="N100" s="54" t="s">
        <v>673</v>
      </c>
      <c r="O100" s="55" t="s">
        <v>673</v>
      </c>
      <c r="P100" s="55" t="s">
        <v>673</v>
      </c>
      <c r="Q100" s="55" t="s">
        <v>673</v>
      </c>
      <c r="R100" s="55" t="s">
        <v>673</v>
      </c>
      <c r="S100" s="55" t="s">
        <v>673</v>
      </c>
      <c r="T100" s="55" t="s">
        <v>673</v>
      </c>
      <c r="U100" s="99" t="s">
        <v>673</v>
      </c>
      <c r="V100" s="56" t="s">
        <v>673</v>
      </c>
    </row>
    <row r="101" spans="1:22" s="26" customFormat="1" x14ac:dyDescent="0.2">
      <c r="A101" s="75" t="str">
        <f>VLOOKUP("&lt;Zeilentitel_89&gt;",Uebersetzungen!$B$3:$E$931,Uebersetzungen!$B$2+1,FALSE)</f>
        <v>N82</v>
      </c>
      <c r="B101" s="83" t="str">
        <f>VLOOKUP("&lt;Zeilentitel_89.1&gt;",Uebersetzungen!$B$3:$E$931,Uebersetzungen!$B$2+1,FALSE)</f>
        <v>Wirtschaftliche Dienstleistungen für Unternehmen und Privatpersonen, a.n.g.</v>
      </c>
      <c r="C101" s="32"/>
      <c r="D101" s="46" t="s">
        <v>673</v>
      </c>
      <c r="E101" s="65" t="s">
        <v>673</v>
      </c>
      <c r="F101" s="65" t="s">
        <v>673</v>
      </c>
      <c r="G101" s="65" t="s">
        <v>673</v>
      </c>
      <c r="H101" s="65" t="s">
        <v>673</v>
      </c>
      <c r="I101" s="65" t="s">
        <v>673</v>
      </c>
      <c r="J101" s="65" t="s">
        <v>673</v>
      </c>
      <c r="K101" s="93" t="s">
        <v>673</v>
      </c>
      <c r="L101" s="66" t="s">
        <v>673</v>
      </c>
      <c r="M101" s="44"/>
      <c r="N101" s="54" t="s">
        <v>673</v>
      </c>
      <c r="O101" s="55" t="s">
        <v>673</v>
      </c>
      <c r="P101" s="55" t="s">
        <v>673</v>
      </c>
      <c r="Q101" s="55" t="s">
        <v>673</v>
      </c>
      <c r="R101" s="55" t="s">
        <v>673</v>
      </c>
      <c r="S101" s="55" t="s">
        <v>673</v>
      </c>
      <c r="T101" s="55" t="s">
        <v>673</v>
      </c>
      <c r="U101" s="99" t="s">
        <v>673</v>
      </c>
      <c r="V101" s="56" t="s">
        <v>673</v>
      </c>
    </row>
    <row r="102" spans="1:22" s="26" customFormat="1" ht="28.5" x14ac:dyDescent="0.2">
      <c r="A102" s="77" t="str">
        <f>VLOOKUP("&lt;Zeilentitel_90&gt;",Uebersetzungen!$B$3:$E$931,Uebersetzungen!$B$2+1,FALSE)</f>
        <v>O</v>
      </c>
      <c r="B102" s="84" t="str">
        <f>VLOOKUP("&lt;Zeilentitel_90.1&gt;",Uebersetzungen!$B$3:$E$931,Uebersetzungen!$B$2+1,FALSE)</f>
        <v>DIENSTLEISTUNGEN DER ÖFFENTLICHEN VERWALTUNG, DER VERTEIDIGUNG UND DER SOZIALVERSICHERUNG</v>
      </c>
      <c r="C102" s="32"/>
      <c r="D102" s="45" t="s">
        <v>673</v>
      </c>
      <c r="E102" s="63" t="s">
        <v>673</v>
      </c>
      <c r="F102" s="63" t="s">
        <v>673</v>
      </c>
      <c r="G102" s="63" t="s">
        <v>673</v>
      </c>
      <c r="H102" s="63" t="s">
        <v>673</v>
      </c>
      <c r="I102" s="63" t="s">
        <v>673</v>
      </c>
      <c r="J102" s="63" t="s">
        <v>673</v>
      </c>
      <c r="K102" s="92" t="s">
        <v>673</v>
      </c>
      <c r="L102" s="64" t="s">
        <v>673</v>
      </c>
      <c r="M102" s="43"/>
      <c r="N102" s="51" t="s">
        <v>673</v>
      </c>
      <c r="O102" s="52" t="s">
        <v>673</v>
      </c>
      <c r="P102" s="52" t="s">
        <v>673</v>
      </c>
      <c r="Q102" s="52" t="s">
        <v>673</v>
      </c>
      <c r="R102" s="52" t="s">
        <v>673</v>
      </c>
      <c r="S102" s="52" t="s">
        <v>673</v>
      </c>
      <c r="T102" s="52" t="s">
        <v>673</v>
      </c>
      <c r="U102" s="98" t="s">
        <v>673</v>
      </c>
      <c r="V102" s="53" t="s">
        <v>673</v>
      </c>
    </row>
    <row r="103" spans="1:22" s="26" customFormat="1" x14ac:dyDescent="0.2">
      <c r="A103" s="75" t="str">
        <f>VLOOKUP("&lt;Zeilentitel_91&gt;",Uebersetzungen!$B$3:$E$931,Uebersetzungen!$B$2+1,FALSE)</f>
        <v>O84</v>
      </c>
      <c r="B103" s="83" t="str">
        <f>VLOOKUP("&lt;Zeilentitel_91.1&gt;",Uebersetzungen!$B$3:$E$931,Uebersetzungen!$B$2+1,FALSE)</f>
        <v>Dienstleistungen der öffentlichen Verwaltung, der Verteidigung und der Sozialversicherung</v>
      </c>
      <c r="C103" s="32"/>
      <c r="D103" s="46" t="s">
        <v>673</v>
      </c>
      <c r="E103" s="65" t="s">
        <v>673</v>
      </c>
      <c r="F103" s="65" t="s">
        <v>673</v>
      </c>
      <c r="G103" s="65" t="s">
        <v>673</v>
      </c>
      <c r="H103" s="65" t="s">
        <v>673</v>
      </c>
      <c r="I103" s="65" t="s">
        <v>673</v>
      </c>
      <c r="J103" s="65" t="s">
        <v>673</v>
      </c>
      <c r="K103" s="93" t="s">
        <v>673</v>
      </c>
      <c r="L103" s="66" t="s">
        <v>673</v>
      </c>
      <c r="M103" s="44"/>
      <c r="N103" s="54" t="s">
        <v>673</v>
      </c>
      <c r="O103" s="55" t="s">
        <v>673</v>
      </c>
      <c r="P103" s="55" t="s">
        <v>673</v>
      </c>
      <c r="Q103" s="55" t="s">
        <v>673</v>
      </c>
      <c r="R103" s="55" t="s">
        <v>673</v>
      </c>
      <c r="S103" s="55" t="s">
        <v>673</v>
      </c>
      <c r="T103" s="55" t="s">
        <v>673</v>
      </c>
      <c r="U103" s="99" t="s">
        <v>673</v>
      </c>
      <c r="V103" s="56" t="s">
        <v>673</v>
      </c>
    </row>
    <row r="104" spans="1:22" s="26" customFormat="1" x14ac:dyDescent="0.2">
      <c r="A104" s="77" t="str">
        <f>VLOOKUP("&lt;Zeilentitel_92&gt;",Uebersetzungen!$B$3:$E$931,Uebersetzungen!$B$2+1,FALSE)</f>
        <v>P</v>
      </c>
      <c r="B104" s="84" t="str">
        <f>VLOOKUP("&lt;Zeilentitel_92.1&gt;",Uebersetzungen!$B$3:$E$931,Uebersetzungen!$B$2+1,FALSE)</f>
        <v>ERZIEHUNGS- UND UNTERRICHTSDIENSTLEISTUNGEN</v>
      </c>
      <c r="C104" s="32"/>
      <c r="D104" s="45" t="s">
        <v>673</v>
      </c>
      <c r="E104" s="63" t="s">
        <v>673</v>
      </c>
      <c r="F104" s="63" t="s">
        <v>673</v>
      </c>
      <c r="G104" s="63" t="s">
        <v>673</v>
      </c>
      <c r="H104" s="63" t="s">
        <v>673</v>
      </c>
      <c r="I104" s="63" t="s">
        <v>673</v>
      </c>
      <c r="J104" s="63" t="s">
        <v>673</v>
      </c>
      <c r="K104" s="92" t="s">
        <v>673</v>
      </c>
      <c r="L104" s="64" t="s">
        <v>673</v>
      </c>
      <c r="M104" s="43"/>
      <c r="N104" s="51" t="s">
        <v>673</v>
      </c>
      <c r="O104" s="52" t="s">
        <v>673</v>
      </c>
      <c r="P104" s="52" t="s">
        <v>673</v>
      </c>
      <c r="Q104" s="52" t="s">
        <v>673</v>
      </c>
      <c r="R104" s="52" t="s">
        <v>673</v>
      </c>
      <c r="S104" s="52" t="s">
        <v>673</v>
      </c>
      <c r="T104" s="52" t="s">
        <v>673</v>
      </c>
      <c r="U104" s="98" t="s">
        <v>673</v>
      </c>
      <c r="V104" s="53" t="s">
        <v>673</v>
      </c>
    </row>
    <row r="105" spans="1:22" s="26" customFormat="1" x14ac:dyDescent="0.2">
      <c r="A105" s="75" t="str">
        <f>VLOOKUP("&lt;Zeilentitel_93&gt;",Uebersetzungen!$B$3:$E$931,Uebersetzungen!$B$2+1,FALSE)</f>
        <v>P85</v>
      </c>
      <c r="B105" s="83" t="str">
        <f>VLOOKUP("&lt;Zeilentitel_93.1&gt;",Uebersetzungen!$B$3:$E$931,Uebersetzungen!$B$2+1,FALSE)</f>
        <v>Erziehungs- und Unterrichtsdienstleistungen</v>
      </c>
      <c r="C105" s="32"/>
      <c r="D105" s="46" t="s">
        <v>673</v>
      </c>
      <c r="E105" s="65" t="s">
        <v>673</v>
      </c>
      <c r="F105" s="65" t="s">
        <v>673</v>
      </c>
      <c r="G105" s="65" t="s">
        <v>673</v>
      </c>
      <c r="H105" s="65" t="s">
        <v>673</v>
      </c>
      <c r="I105" s="65" t="s">
        <v>673</v>
      </c>
      <c r="J105" s="65" t="s">
        <v>673</v>
      </c>
      <c r="K105" s="93" t="s">
        <v>673</v>
      </c>
      <c r="L105" s="66" t="s">
        <v>673</v>
      </c>
      <c r="M105" s="44"/>
      <c r="N105" s="54" t="s">
        <v>673</v>
      </c>
      <c r="O105" s="55" t="s">
        <v>673</v>
      </c>
      <c r="P105" s="55" t="s">
        <v>673</v>
      </c>
      <c r="Q105" s="55" t="s">
        <v>673</v>
      </c>
      <c r="R105" s="55" t="s">
        <v>673</v>
      </c>
      <c r="S105" s="55" t="s">
        <v>673</v>
      </c>
      <c r="T105" s="55" t="s">
        <v>673</v>
      </c>
      <c r="U105" s="99" t="s">
        <v>673</v>
      </c>
      <c r="V105" s="56" t="s">
        <v>673</v>
      </c>
    </row>
    <row r="106" spans="1:22" s="26" customFormat="1" x14ac:dyDescent="0.2">
      <c r="A106" s="77" t="str">
        <f>VLOOKUP("&lt;Zeilentitel_94&gt;",Uebersetzungen!$B$3:$E$931,Uebersetzungen!$B$2+1,FALSE)</f>
        <v>Q</v>
      </c>
      <c r="B106" s="84" t="str">
        <f>VLOOKUP("&lt;Zeilentitel_94.1&gt;",Uebersetzungen!$B$3:$E$931,Uebersetzungen!$B$2+1,FALSE)</f>
        <v>DIENSTLEISTUNGEN DES GESUNDHEITS- UND SOZIALWESENS</v>
      </c>
      <c r="C106" s="32"/>
      <c r="D106" s="45" t="s">
        <v>673</v>
      </c>
      <c r="E106" s="63" t="s">
        <v>673</v>
      </c>
      <c r="F106" s="63" t="s">
        <v>673</v>
      </c>
      <c r="G106" s="63" t="s">
        <v>673</v>
      </c>
      <c r="H106" s="63" t="s">
        <v>673</v>
      </c>
      <c r="I106" s="63" t="s">
        <v>673</v>
      </c>
      <c r="J106" s="63" t="s">
        <v>673</v>
      </c>
      <c r="K106" s="92" t="s">
        <v>673</v>
      </c>
      <c r="L106" s="64" t="s">
        <v>673</v>
      </c>
      <c r="M106" s="43"/>
      <c r="N106" s="51" t="s">
        <v>673</v>
      </c>
      <c r="O106" s="52" t="s">
        <v>673</v>
      </c>
      <c r="P106" s="52" t="s">
        <v>673</v>
      </c>
      <c r="Q106" s="52" t="s">
        <v>673</v>
      </c>
      <c r="R106" s="52" t="s">
        <v>673</v>
      </c>
      <c r="S106" s="52" t="s">
        <v>673</v>
      </c>
      <c r="T106" s="52" t="s">
        <v>673</v>
      </c>
      <c r="U106" s="98" t="s">
        <v>673</v>
      </c>
      <c r="V106" s="53" t="s">
        <v>673</v>
      </c>
    </row>
    <row r="107" spans="1:22" s="26" customFormat="1" x14ac:dyDescent="0.2">
      <c r="A107" s="75" t="str">
        <f>VLOOKUP("&lt;Zeilentitel_95&gt;",Uebersetzungen!$B$3:$E$931,Uebersetzungen!$B$2+1,FALSE)</f>
        <v>Q86</v>
      </c>
      <c r="B107" s="83" t="str">
        <f>VLOOKUP("&lt;Zeilentitel_95.1&gt;",Uebersetzungen!$B$3:$E$931,Uebersetzungen!$B$2+1,FALSE)</f>
        <v>Dienstleistungen des Gesundheitswesens</v>
      </c>
      <c r="C107" s="32"/>
      <c r="D107" s="46" t="s">
        <v>673</v>
      </c>
      <c r="E107" s="65" t="s">
        <v>673</v>
      </c>
      <c r="F107" s="65" t="s">
        <v>673</v>
      </c>
      <c r="G107" s="65" t="s">
        <v>673</v>
      </c>
      <c r="H107" s="65" t="s">
        <v>673</v>
      </c>
      <c r="I107" s="65" t="s">
        <v>673</v>
      </c>
      <c r="J107" s="65" t="s">
        <v>673</v>
      </c>
      <c r="K107" s="93" t="s">
        <v>673</v>
      </c>
      <c r="L107" s="66" t="s">
        <v>673</v>
      </c>
      <c r="M107" s="44"/>
      <c r="N107" s="54" t="s">
        <v>673</v>
      </c>
      <c r="O107" s="55" t="s">
        <v>673</v>
      </c>
      <c r="P107" s="55" t="s">
        <v>673</v>
      </c>
      <c r="Q107" s="55" t="s">
        <v>673</v>
      </c>
      <c r="R107" s="55" t="s">
        <v>673</v>
      </c>
      <c r="S107" s="55" t="s">
        <v>673</v>
      </c>
      <c r="T107" s="55" t="s">
        <v>673</v>
      </c>
      <c r="U107" s="99" t="s">
        <v>673</v>
      </c>
      <c r="V107" s="56" t="s">
        <v>673</v>
      </c>
    </row>
    <row r="108" spans="1:22" s="26" customFormat="1" x14ac:dyDescent="0.2">
      <c r="A108" s="75" t="str">
        <f>VLOOKUP("&lt;Zeilentitel_96&gt;",Uebersetzungen!$B$3:$E$931,Uebersetzungen!$B$2+1,FALSE)</f>
        <v>Q87</v>
      </c>
      <c r="B108" s="83" t="str">
        <f>VLOOKUP("&lt;Zeilentitel_96.1&gt;",Uebersetzungen!$B$3:$E$931,Uebersetzungen!$B$2+1,FALSE)</f>
        <v>Dienstleistungen von Heimen (ohne Erholungs- und Ferienheime)</v>
      </c>
      <c r="C108" s="32"/>
      <c r="D108" s="46" t="s">
        <v>673</v>
      </c>
      <c r="E108" s="65" t="s">
        <v>673</v>
      </c>
      <c r="F108" s="65" t="s">
        <v>673</v>
      </c>
      <c r="G108" s="65" t="s">
        <v>673</v>
      </c>
      <c r="H108" s="65" t="s">
        <v>673</v>
      </c>
      <c r="I108" s="65" t="s">
        <v>673</v>
      </c>
      <c r="J108" s="65" t="s">
        <v>673</v>
      </c>
      <c r="K108" s="93" t="s">
        <v>673</v>
      </c>
      <c r="L108" s="66" t="s">
        <v>673</v>
      </c>
      <c r="M108" s="44"/>
      <c r="N108" s="54" t="s">
        <v>673</v>
      </c>
      <c r="O108" s="55" t="s">
        <v>673</v>
      </c>
      <c r="P108" s="55" t="s">
        <v>673</v>
      </c>
      <c r="Q108" s="55" t="s">
        <v>673</v>
      </c>
      <c r="R108" s="55" t="s">
        <v>673</v>
      </c>
      <c r="S108" s="55" t="s">
        <v>673</v>
      </c>
      <c r="T108" s="55" t="s">
        <v>673</v>
      </c>
      <c r="U108" s="99" t="s">
        <v>673</v>
      </c>
      <c r="V108" s="56" t="s">
        <v>673</v>
      </c>
    </row>
    <row r="109" spans="1:22" s="26" customFormat="1" x14ac:dyDescent="0.2">
      <c r="A109" s="75" t="str">
        <f>VLOOKUP("&lt;Zeilentitel_97&gt;",Uebersetzungen!$B$3:$E$931,Uebersetzungen!$B$2+1,FALSE)</f>
        <v>Q88</v>
      </c>
      <c r="B109" s="83" t="str">
        <f>VLOOKUP("&lt;Zeilentitel_97.1&gt;",Uebersetzungen!$B$3:$E$931,Uebersetzungen!$B$2+1,FALSE)</f>
        <v>Dienstleistungen des Sozialwesens (ohne Heime), a.n.g.</v>
      </c>
      <c r="C109" s="32"/>
      <c r="D109" s="46" t="s">
        <v>673</v>
      </c>
      <c r="E109" s="65" t="s">
        <v>673</v>
      </c>
      <c r="F109" s="65" t="s">
        <v>673</v>
      </c>
      <c r="G109" s="65" t="s">
        <v>673</v>
      </c>
      <c r="H109" s="65" t="s">
        <v>673</v>
      </c>
      <c r="I109" s="65" t="s">
        <v>673</v>
      </c>
      <c r="J109" s="65" t="s">
        <v>673</v>
      </c>
      <c r="K109" s="93" t="s">
        <v>673</v>
      </c>
      <c r="L109" s="66" t="s">
        <v>673</v>
      </c>
      <c r="M109" s="44"/>
      <c r="N109" s="54" t="s">
        <v>673</v>
      </c>
      <c r="O109" s="55" t="s">
        <v>673</v>
      </c>
      <c r="P109" s="55" t="s">
        <v>673</v>
      </c>
      <c r="Q109" s="55" t="s">
        <v>673</v>
      </c>
      <c r="R109" s="55" t="s">
        <v>673</v>
      </c>
      <c r="S109" s="55" t="s">
        <v>673</v>
      </c>
      <c r="T109" s="55" t="s">
        <v>673</v>
      </c>
      <c r="U109" s="99" t="s">
        <v>673</v>
      </c>
      <c r="V109" s="56" t="s">
        <v>673</v>
      </c>
    </row>
    <row r="110" spans="1:22" s="26" customFormat="1" x14ac:dyDescent="0.2">
      <c r="A110" s="77" t="str">
        <f>VLOOKUP("&lt;Zeilentitel_98&gt;",Uebersetzungen!$B$3:$E$931,Uebersetzungen!$B$2+1,FALSE)</f>
        <v>R</v>
      </c>
      <c r="B110" s="84" t="str">
        <f>VLOOKUP("&lt;Zeilentitel_98.1&gt;",Uebersetzungen!$B$3:$E$931,Uebersetzungen!$B$2+1,FALSE)</f>
        <v>KUNST-, UNTERHALTUNGS- UND ERHOLUNGSDIENSTLEISTUNGEN</v>
      </c>
      <c r="C110" s="32"/>
      <c r="D110" s="45">
        <v>60938.582155363998</v>
      </c>
      <c r="E110" s="63">
        <v>18824.112941724801</v>
      </c>
      <c r="F110" s="63">
        <v>31689.5571844392</v>
      </c>
      <c r="G110" s="63">
        <v>31884.949937773599</v>
      </c>
      <c r="H110" s="63">
        <v>25683.045250084298</v>
      </c>
      <c r="I110" s="63">
        <v>81686.73721343081</v>
      </c>
      <c r="J110" s="63">
        <v>20953.5158518055</v>
      </c>
      <c r="K110" s="92">
        <v>59356.368323903596</v>
      </c>
      <c r="L110" s="64">
        <v>44487.199210005405</v>
      </c>
      <c r="M110" s="43"/>
      <c r="N110" s="51" t="s">
        <v>673</v>
      </c>
      <c r="O110" s="52">
        <v>-69.109696556883506</v>
      </c>
      <c r="P110" s="52">
        <v>68.345553825260794</v>
      </c>
      <c r="Q110" s="52">
        <v>0.616584044381428</v>
      </c>
      <c r="R110" s="52">
        <v>-19.450884193931099</v>
      </c>
      <c r="S110" s="52">
        <v>218.05705444202599</v>
      </c>
      <c r="T110" s="52">
        <v>-74.348937702018503</v>
      </c>
      <c r="U110" s="98">
        <v>183.276414057209</v>
      </c>
      <c r="V110" s="53">
        <v>-25.0506719561381</v>
      </c>
    </row>
    <row r="111" spans="1:22" s="26" customFormat="1" x14ac:dyDescent="0.2">
      <c r="A111" s="75" t="str">
        <f>VLOOKUP("&lt;Zeilentitel_99&gt;",Uebersetzungen!$B$3:$E$931,Uebersetzungen!$B$2+1,FALSE)</f>
        <v>R90</v>
      </c>
      <c r="B111" s="83" t="str">
        <f>VLOOKUP("&lt;Zeilentitel_99.1&gt;",Uebersetzungen!$B$3:$E$931,Uebersetzungen!$B$2+1,FALSE)</f>
        <v>Kreative, künstlerische und unterhaltende Dienstleistungen</v>
      </c>
      <c r="C111" s="32"/>
      <c r="D111" s="46">
        <v>60816.491565215103</v>
      </c>
      <c r="E111" s="65">
        <v>18572.535351773</v>
      </c>
      <c r="F111" s="65">
        <v>31375.546920135799</v>
      </c>
      <c r="G111" s="65">
        <v>30941.131976299497</v>
      </c>
      <c r="H111" s="65">
        <v>25506.332878218698</v>
      </c>
      <c r="I111" s="65">
        <v>81564.832568964412</v>
      </c>
      <c r="J111" s="65">
        <v>20658.571564842001</v>
      </c>
      <c r="K111" s="93">
        <v>58957.585907286899</v>
      </c>
      <c r="L111" s="66">
        <v>44375.395184308698</v>
      </c>
      <c r="M111" s="44"/>
      <c r="N111" s="54" t="s">
        <v>673</v>
      </c>
      <c r="O111" s="55">
        <v>-69.461350245998304</v>
      </c>
      <c r="P111" s="55">
        <v>68.935184808468193</v>
      </c>
      <c r="Q111" s="55">
        <v>-1.3845653270748499</v>
      </c>
      <c r="R111" s="55">
        <v>-17.5649653097495</v>
      </c>
      <c r="S111" s="55">
        <v>219.782671066045</v>
      </c>
      <c r="T111" s="55">
        <v>-74.672207476948003</v>
      </c>
      <c r="U111" s="99">
        <v>185.390428482598</v>
      </c>
      <c r="V111" s="56">
        <v>-24.733357885292801</v>
      </c>
    </row>
    <row r="112" spans="1:22" s="26" customFormat="1" x14ac:dyDescent="0.2">
      <c r="A112" s="75" t="str">
        <f>VLOOKUP("&lt;Zeilentitel_100&gt;",Uebersetzungen!$B$3:$E$931,Uebersetzungen!$B$2+1,FALSE)</f>
        <v>R91</v>
      </c>
      <c r="B112" s="83" t="str">
        <f>VLOOKUP("&lt;Zeilentitel_100.1&gt;",Uebersetzungen!$B$3:$E$931,Uebersetzungen!$B$2+1,FALSE)</f>
        <v>Dienstleistungen von Bibliotheken, Archiven und Museen, botanischen und zoologischen Gärten</v>
      </c>
      <c r="C112" s="32"/>
      <c r="D112" s="46">
        <v>122.090590148896</v>
      </c>
      <c r="E112" s="65">
        <v>251.57758995180399</v>
      </c>
      <c r="F112" s="65">
        <v>314.01026430340801</v>
      </c>
      <c r="G112" s="65">
        <v>943.817961474105</v>
      </c>
      <c r="H112" s="65">
        <v>176.71237186565099</v>
      </c>
      <c r="I112" s="65">
        <v>121.904644466432</v>
      </c>
      <c r="J112" s="65">
        <v>294.94428696350798</v>
      </c>
      <c r="K112" s="93">
        <v>398.78241661673303</v>
      </c>
      <c r="L112" s="66">
        <v>111.80402569673601</v>
      </c>
      <c r="M112" s="44"/>
      <c r="N112" s="54" t="s">
        <v>673</v>
      </c>
      <c r="O112" s="55">
        <v>106.058132444926</v>
      </c>
      <c r="P112" s="55">
        <v>24.816468892783501</v>
      </c>
      <c r="Q112" s="55">
        <v>200.56914335837001</v>
      </c>
      <c r="R112" s="55">
        <v>-81.276858559710703</v>
      </c>
      <c r="S112" s="55">
        <v>-31.0152180181746</v>
      </c>
      <c r="T112" s="55">
        <v>141.946718481858</v>
      </c>
      <c r="U112" s="99">
        <v>35.206014912935601</v>
      </c>
      <c r="V112" s="56">
        <v>-71.963652097482097</v>
      </c>
    </row>
    <row r="113" spans="1:22" s="26" customFormat="1" x14ac:dyDescent="0.2">
      <c r="A113" s="75" t="str">
        <f>VLOOKUP("&lt;Zeilentitel_101&gt;",Uebersetzungen!$B$3:$E$931,Uebersetzungen!$B$2+1,FALSE)</f>
        <v>R92</v>
      </c>
      <c r="B113" s="83" t="str">
        <f>VLOOKUP("&lt;Zeilentitel_101.1&gt;",Uebersetzungen!$B$3:$E$931,Uebersetzungen!$B$2+1,FALSE)</f>
        <v>Dienstleistungen des Spiel-, Wett- und Lotteriewesens</v>
      </c>
      <c r="C113" s="32"/>
      <c r="D113" s="46" t="s">
        <v>673</v>
      </c>
      <c r="E113" s="65" t="s">
        <v>673</v>
      </c>
      <c r="F113" s="65" t="s">
        <v>673</v>
      </c>
      <c r="G113" s="65" t="s">
        <v>673</v>
      </c>
      <c r="H113" s="65" t="s">
        <v>673</v>
      </c>
      <c r="I113" s="65" t="s">
        <v>673</v>
      </c>
      <c r="J113" s="65" t="s">
        <v>673</v>
      </c>
      <c r="K113" s="93" t="s">
        <v>673</v>
      </c>
      <c r="L113" s="66" t="s">
        <v>673</v>
      </c>
      <c r="M113" s="44"/>
      <c r="N113" s="54" t="s">
        <v>673</v>
      </c>
      <c r="O113" s="55" t="s">
        <v>673</v>
      </c>
      <c r="P113" s="55" t="s">
        <v>673</v>
      </c>
      <c r="Q113" s="55" t="s">
        <v>673</v>
      </c>
      <c r="R113" s="55" t="s">
        <v>673</v>
      </c>
      <c r="S113" s="55" t="s">
        <v>673</v>
      </c>
      <c r="T113" s="55" t="s">
        <v>673</v>
      </c>
      <c r="U113" s="99" t="s">
        <v>673</v>
      </c>
      <c r="V113" s="56" t="s">
        <v>673</v>
      </c>
    </row>
    <row r="114" spans="1:22" s="26" customFormat="1" x14ac:dyDescent="0.2">
      <c r="A114" s="75" t="str">
        <f>VLOOKUP("&lt;Zeilentitel_102&gt;",Uebersetzungen!$B$3:$E$931,Uebersetzungen!$B$2+1,FALSE)</f>
        <v>R93</v>
      </c>
      <c r="B114" s="83" t="str">
        <f>VLOOKUP("&lt;Zeilentitel_102.1&gt;",Uebersetzungen!$B$3:$E$931,Uebersetzungen!$B$2+1,FALSE)</f>
        <v>Dienstleistungen des Sports, der Unterhaltung und der Erholung</v>
      </c>
      <c r="C114" s="32"/>
      <c r="D114" s="46" t="s">
        <v>673</v>
      </c>
      <c r="E114" s="65" t="s">
        <v>673</v>
      </c>
      <c r="F114" s="65" t="s">
        <v>673</v>
      </c>
      <c r="G114" s="65" t="s">
        <v>673</v>
      </c>
      <c r="H114" s="65" t="s">
        <v>673</v>
      </c>
      <c r="I114" s="65" t="s">
        <v>673</v>
      </c>
      <c r="J114" s="65" t="s">
        <v>673</v>
      </c>
      <c r="K114" s="93" t="s">
        <v>673</v>
      </c>
      <c r="L114" s="66" t="s">
        <v>673</v>
      </c>
      <c r="M114" s="44"/>
      <c r="N114" s="54" t="s">
        <v>673</v>
      </c>
      <c r="O114" s="55" t="s">
        <v>673</v>
      </c>
      <c r="P114" s="55" t="s">
        <v>673</v>
      </c>
      <c r="Q114" s="55" t="s">
        <v>673</v>
      </c>
      <c r="R114" s="55" t="s">
        <v>673</v>
      </c>
      <c r="S114" s="55" t="s">
        <v>673</v>
      </c>
      <c r="T114" s="55" t="s">
        <v>673</v>
      </c>
      <c r="U114" s="99" t="s">
        <v>673</v>
      </c>
      <c r="V114" s="56" t="s">
        <v>673</v>
      </c>
    </row>
    <row r="115" spans="1:22" s="26" customFormat="1" x14ac:dyDescent="0.2">
      <c r="A115" s="77" t="str">
        <f>VLOOKUP("&lt;Zeilentitel_103&gt;",Uebersetzungen!$B$3:$E$931,Uebersetzungen!$B$2+1,FALSE)</f>
        <v>S</v>
      </c>
      <c r="B115" s="84" t="str">
        <f>VLOOKUP("&lt;Zeilentitel_103.1&gt;",Uebersetzungen!$B$3:$E$931,Uebersetzungen!$B$2+1,FALSE)</f>
        <v>SONSTIGE DIENSTLEISTUNGEN</v>
      </c>
      <c r="C115" s="32"/>
      <c r="D115" s="45">
        <v>6.1693156395797602E-2</v>
      </c>
      <c r="E115" s="63">
        <v>1.2170569704500901E-2</v>
      </c>
      <c r="F115" s="63" t="s">
        <v>673</v>
      </c>
      <c r="G115" s="63" t="s">
        <v>673</v>
      </c>
      <c r="H115" s="63" t="s">
        <v>673</v>
      </c>
      <c r="I115" s="63" t="s">
        <v>673</v>
      </c>
      <c r="J115" s="63" t="s">
        <v>673</v>
      </c>
      <c r="K115" s="92" t="s">
        <v>673</v>
      </c>
      <c r="L115" s="64" t="s">
        <v>673</v>
      </c>
      <c r="M115" s="43"/>
      <c r="N115" s="51" t="s">
        <v>673</v>
      </c>
      <c r="O115" s="52">
        <v>-80.272415263664698</v>
      </c>
      <c r="P115" s="52" t="s">
        <v>673</v>
      </c>
      <c r="Q115" s="52" t="s">
        <v>673</v>
      </c>
      <c r="R115" s="52" t="s">
        <v>673</v>
      </c>
      <c r="S115" s="52" t="s">
        <v>673</v>
      </c>
      <c r="T115" s="52" t="s">
        <v>673</v>
      </c>
      <c r="U115" s="98" t="s">
        <v>673</v>
      </c>
      <c r="V115" s="53" t="s">
        <v>673</v>
      </c>
    </row>
    <row r="116" spans="1:22" s="26" customFormat="1" ht="28.5" x14ac:dyDescent="0.2">
      <c r="A116" s="75" t="str">
        <f>VLOOKUP("&lt;Zeilentitel_104&gt;",Uebersetzungen!$B$3:$E$931,Uebersetzungen!$B$2+1,FALSE)</f>
        <v>S94</v>
      </c>
      <c r="B116" s="83" t="str">
        <f>VLOOKUP("&lt;Zeilentitel_104.1&gt;",Uebersetzungen!$B$3:$E$931,Uebersetzungen!$B$2+1,FALSE)</f>
        <v>Dienstleistungen von Interessenvertretungen sowie kirchlichen und sonstigen religiösen Vereinigungen (ohne Sozialwesen und Sport)</v>
      </c>
      <c r="C116" s="32"/>
      <c r="D116" s="46" t="s">
        <v>673</v>
      </c>
      <c r="E116" s="65" t="s">
        <v>673</v>
      </c>
      <c r="F116" s="65" t="s">
        <v>673</v>
      </c>
      <c r="G116" s="65" t="s">
        <v>673</v>
      </c>
      <c r="H116" s="65" t="s">
        <v>673</v>
      </c>
      <c r="I116" s="65" t="s">
        <v>673</v>
      </c>
      <c r="J116" s="65" t="s">
        <v>673</v>
      </c>
      <c r="K116" s="93" t="s">
        <v>673</v>
      </c>
      <c r="L116" s="66" t="s">
        <v>673</v>
      </c>
      <c r="M116" s="44"/>
      <c r="N116" s="54" t="s">
        <v>673</v>
      </c>
      <c r="O116" s="55" t="s">
        <v>673</v>
      </c>
      <c r="P116" s="55" t="s">
        <v>673</v>
      </c>
      <c r="Q116" s="55" t="s">
        <v>673</v>
      </c>
      <c r="R116" s="55" t="s">
        <v>673</v>
      </c>
      <c r="S116" s="55" t="s">
        <v>673</v>
      </c>
      <c r="T116" s="55" t="s">
        <v>673</v>
      </c>
      <c r="U116" s="99" t="s">
        <v>673</v>
      </c>
      <c r="V116" s="56" t="s">
        <v>673</v>
      </c>
    </row>
    <row r="117" spans="1:22" s="26" customFormat="1" x14ac:dyDescent="0.2">
      <c r="A117" s="75" t="str">
        <f>VLOOKUP("&lt;Zeilentitel_105&gt;",Uebersetzungen!$B$3:$E$931,Uebersetzungen!$B$2+1,FALSE)</f>
        <v>S95</v>
      </c>
      <c r="B117" s="83" t="str">
        <f>VLOOKUP("&lt;Zeilentitel_105.1&gt;",Uebersetzungen!$B$3:$E$931,Uebersetzungen!$B$2+1,FALSE)</f>
        <v>Reparaturarbeiten an Datenverarbeitungsgeräten und Gebrauchsgütern</v>
      </c>
      <c r="C117" s="11"/>
      <c r="D117" s="46" t="s">
        <v>673</v>
      </c>
      <c r="E117" s="65" t="s">
        <v>673</v>
      </c>
      <c r="F117" s="65" t="s">
        <v>673</v>
      </c>
      <c r="G117" s="65" t="s">
        <v>673</v>
      </c>
      <c r="H117" s="65" t="s">
        <v>673</v>
      </c>
      <c r="I117" s="65" t="s">
        <v>673</v>
      </c>
      <c r="J117" s="65" t="s">
        <v>673</v>
      </c>
      <c r="K117" s="93" t="s">
        <v>673</v>
      </c>
      <c r="L117" s="66" t="s">
        <v>673</v>
      </c>
      <c r="M117" s="44"/>
      <c r="N117" s="54" t="s">
        <v>673</v>
      </c>
      <c r="O117" s="55" t="s">
        <v>673</v>
      </c>
      <c r="P117" s="55" t="s">
        <v>673</v>
      </c>
      <c r="Q117" s="55" t="s">
        <v>673</v>
      </c>
      <c r="R117" s="55" t="s">
        <v>673</v>
      </c>
      <c r="S117" s="55" t="s">
        <v>673</v>
      </c>
      <c r="T117" s="55" t="s">
        <v>673</v>
      </c>
      <c r="U117" s="99" t="s">
        <v>673</v>
      </c>
      <c r="V117" s="56" t="s">
        <v>673</v>
      </c>
    </row>
    <row r="118" spans="1:22" s="26" customFormat="1" x14ac:dyDescent="0.2">
      <c r="A118" s="75" t="str">
        <f>VLOOKUP("&lt;Zeilentitel_106&gt;",Uebersetzungen!$B$3:$E$931,Uebersetzungen!$B$2+1,FALSE)</f>
        <v>S96</v>
      </c>
      <c r="B118" s="83" t="str">
        <f>VLOOKUP("&lt;Zeilentitel_106.1&gt;",Uebersetzungen!$B$3:$E$931,Uebersetzungen!$B$2+1,FALSE)</f>
        <v>Sonstige überwiegend persönliche Dienstleistungen</v>
      </c>
      <c r="C118" s="11"/>
      <c r="D118" s="46">
        <v>6.1693156395797602E-2</v>
      </c>
      <c r="E118" s="65">
        <v>1.2170569704500901E-2</v>
      </c>
      <c r="F118" s="65" t="s">
        <v>673</v>
      </c>
      <c r="G118" s="65" t="s">
        <v>673</v>
      </c>
      <c r="H118" s="65" t="s">
        <v>673</v>
      </c>
      <c r="I118" s="65" t="s">
        <v>673</v>
      </c>
      <c r="J118" s="65" t="s">
        <v>673</v>
      </c>
      <c r="K118" s="93" t="s">
        <v>673</v>
      </c>
      <c r="L118" s="66" t="s">
        <v>673</v>
      </c>
      <c r="M118" s="44"/>
      <c r="N118" s="54" t="s">
        <v>673</v>
      </c>
      <c r="O118" s="55">
        <v>-80.272415263664698</v>
      </c>
      <c r="P118" s="55" t="s">
        <v>673</v>
      </c>
      <c r="Q118" s="55" t="s">
        <v>673</v>
      </c>
      <c r="R118" s="55" t="s">
        <v>673</v>
      </c>
      <c r="S118" s="55" t="s">
        <v>673</v>
      </c>
      <c r="T118" s="55" t="s">
        <v>673</v>
      </c>
      <c r="U118" s="99" t="s">
        <v>673</v>
      </c>
      <c r="V118" s="56" t="s">
        <v>673</v>
      </c>
    </row>
    <row r="119" spans="1:22" s="26" customFormat="1" ht="42.75" x14ac:dyDescent="0.2">
      <c r="A119" s="77" t="str">
        <f>VLOOKUP("&lt;Zeilentitel_107&gt;",Uebersetzungen!$B$3:$E$931,Uebersetzungen!$B$2+1,FALSE)</f>
        <v>T</v>
      </c>
      <c r="B119" s="84" t="str">
        <f>VLOOKUP("&lt;Zeilentitel_107.1&gt;",Uebersetzungen!$B$3:$E$931,Uebersetzungen!$B$2+1,FALSE)</f>
        <v>DIENSTLEISTUNGEN PRIVATER HAUSHALTE, DIE HAUSPERSONAL BESCHÄFTIGEN; VON PRIVATEN HAUSHALTEN PRODUZIERTE WAREN UND DIENSTLEISTUNGEN FÜR DEN EIGENBEDARF OHNE AUSGEPRÄGTEN SCHWERPUNKT</v>
      </c>
      <c r="C119" s="32"/>
      <c r="D119" s="45" t="s">
        <v>673</v>
      </c>
      <c r="E119" s="63" t="s">
        <v>673</v>
      </c>
      <c r="F119" s="63" t="s">
        <v>673</v>
      </c>
      <c r="G119" s="63" t="s">
        <v>673</v>
      </c>
      <c r="H119" s="63" t="s">
        <v>673</v>
      </c>
      <c r="I119" s="63" t="s">
        <v>673</v>
      </c>
      <c r="J119" s="63" t="s">
        <v>673</v>
      </c>
      <c r="K119" s="92" t="s">
        <v>673</v>
      </c>
      <c r="L119" s="64" t="s">
        <v>673</v>
      </c>
      <c r="M119" s="43"/>
      <c r="N119" s="51" t="s">
        <v>673</v>
      </c>
      <c r="O119" s="52" t="s">
        <v>673</v>
      </c>
      <c r="P119" s="52" t="s">
        <v>673</v>
      </c>
      <c r="Q119" s="52" t="s">
        <v>673</v>
      </c>
      <c r="R119" s="52" t="s">
        <v>673</v>
      </c>
      <c r="S119" s="52" t="s">
        <v>673</v>
      </c>
      <c r="T119" s="52" t="s">
        <v>673</v>
      </c>
      <c r="U119" s="98" t="s">
        <v>673</v>
      </c>
      <c r="V119" s="53" t="s">
        <v>673</v>
      </c>
    </row>
    <row r="120" spans="1:22" s="26" customFormat="1" x14ac:dyDescent="0.2">
      <c r="A120" s="75" t="str">
        <f>VLOOKUP("&lt;Zeilentitel_108&gt;",Uebersetzungen!$B$3:$E$931,Uebersetzungen!$B$2+1,FALSE)</f>
        <v>T97</v>
      </c>
      <c r="B120" s="83" t="str">
        <f>VLOOKUP("&lt;Zeilentitel_108.1&gt;",Uebersetzungen!$B$3:$E$931,Uebersetzungen!$B$2+1,FALSE)</f>
        <v>Dienstleistungen privater Haushalte, die Hauspersonal beschäftigen</v>
      </c>
      <c r="C120" s="5"/>
      <c r="D120" s="46" t="s">
        <v>673</v>
      </c>
      <c r="E120" s="65" t="s">
        <v>673</v>
      </c>
      <c r="F120" s="65" t="s">
        <v>673</v>
      </c>
      <c r="G120" s="65" t="s">
        <v>673</v>
      </c>
      <c r="H120" s="65" t="s">
        <v>673</v>
      </c>
      <c r="I120" s="65" t="s">
        <v>673</v>
      </c>
      <c r="J120" s="65" t="s">
        <v>673</v>
      </c>
      <c r="K120" s="93" t="s">
        <v>673</v>
      </c>
      <c r="L120" s="66" t="s">
        <v>673</v>
      </c>
      <c r="M120" s="44"/>
      <c r="N120" s="54" t="s">
        <v>673</v>
      </c>
      <c r="O120" s="55" t="s">
        <v>673</v>
      </c>
      <c r="P120" s="55" t="s">
        <v>673</v>
      </c>
      <c r="Q120" s="55" t="s">
        <v>673</v>
      </c>
      <c r="R120" s="55" t="s">
        <v>673</v>
      </c>
      <c r="S120" s="55" t="s">
        <v>673</v>
      </c>
      <c r="T120" s="55" t="s">
        <v>673</v>
      </c>
      <c r="U120" s="99" t="s">
        <v>673</v>
      </c>
      <c r="V120" s="56" t="s">
        <v>673</v>
      </c>
    </row>
    <row r="121" spans="1:22" s="26" customFormat="1" x14ac:dyDescent="0.2">
      <c r="A121" s="75" t="str">
        <f>VLOOKUP("&lt;Zeilentitel_109&gt;",Uebersetzungen!$B$3:$E$931,Uebersetzungen!$B$2+1,FALSE)</f>
        <v>T98</v>
      </c>
      <c r="B121" s="83" t="str">
        <f>VLOOKUP("&lt;Zeilentitel_109.1&gt;",Uebersetzungen!$B$3:$E$931,Uebersetzungen!$B$2+1,FALSE)</f>
        <v>Durch private Haushalte für den Eigenbedarf produzierte Waren und Dienstleistungen ohne ausgeprägten Schwerpunkt</v>
      </c>
      <c r="C121" s="7"/>
      <c r="D121" s="46" t="s">
        <v>673</v>
      </c>
      <c r="E121" s="65" t="s">
        <v>673</v>
      </c>
      <c r="F121" s="65" t="s">
        <v>673</v>
      </c>
      <c r="G121" s="65" t="s">
        <v>673</v>
      </c>
      <c r="H121" s="65" t="s">
        <v>673</v>
      </c>
      <c r="I121" s="65" t="s">
        <v>673</v>
      </c>
      <c r="J121" s="65" t="s">
        <v>673</v>
      </c>
      <c r="K121" s="93" t="s">
        <v>673</v>
      </c>
      <c r="L121" s="66" t="s">
        <v>673</v>
      </c>
      <c r="M121" s="44"/>
      <c r="N121" s="54" t="s">
        <v>673</v>
      </c>
      <c r="O121" s="55" t="s">
        <v>673</v>
      </c>
      <c r="P121" s="55" t="s">
        <v>673</v>
      </c>
      <c r="Q121" s="55" t="s">
        <v>673</v>
      </c>
      <c r="R121" s="55" t="s">
        <v>673</v>
      </c>
      <c r="S121" s="55" t="s">
        <v>673</v>
      </c>
      <c r="T121" s="55" t="s">
        <v>673</v>
      </c>
      <c r="U121" s="99" t="s">
        <v>673</v>
      </c>
      <c r="V121" s="56" t="s">
        <v>673</v>
      </c>
    </row>
    <row r="122" spans="1:22" s="26" customFormat="1" x14ac:dyDescent="0.2">
      <c r="A122" s="77" t="str">
        <f>VLOOKUP("&lt;Zeilentitel_110&gt;",Uebersetzungen!$B$3:$E$931,Uebersetzungen!$B$2+1,FALSE)</f>
        <v>U</v>
      </c>
      <c r="B122" s="84" t="str">
        <f>VLOOKUP("&lt;Zeilentitel_110.1&gt;",Uebersetzungen!$B$3:$E$931,Uebersetzungen!$B$2+1,FALSE)</f>
        <v>DIENSTLEISTUNGEN EXTERRITORIALER ORGANISATIONEN UND KÖRPERSCHAFTEN</v>
      </c>
      <c r="C122" s="32"/>
      <c r="D122" s="45" t="s">
        <v>673</v>
      </c>
      <c r="E122" s="63" t="s">
        <v>673</v>
      </c>
      <c r="F122" s="63" t="s">
        <v>673</v>
      </c>
      <c r="G122" s="63" t="s">
        <v>673</v>
      </c>
      <c r="H122" s="63" t="s">
        <v>673</v>
      </c>
      <c r="I122" s="63" t="s">
        <v>673</v>
      </c>
      <c r="J122" s="63" t="s">
        <v>673</v>
      </c>
      <c r="K122" s="92" t="s">
        <v>673</v>
      </c>
      <c r="L122" s="64" t="s">
        <v>673</v>
      </c>
      <c r="M122" s="43"/>
      <c r="N122" s="51" t="s">
        <v>673</v>
      </c>
      <c r="O122" s="52" t="s">
        <v>673</v>
      </c>
      <c r="P122" s="52" t="s">
        <v>673</v>
      </c>
      <c r="Q122" s="52" t="s">
        <v>673</v>
      </c>
      <c r="R122" s="52" t="s">
        <v>673</v>
      </c>
      <c r="S122" s="52" t="s">
        <v>673</v>
      </c>
      <c r="T122" s="52" t="s">
        <v>673</v>
      </c>
      <c r="U122" s="98" t="s">
        <v>673</v>
      </c>
      <c r="V122" s="53" t="s">
        <v>673</v>
      </c>
    </row>
    <row r="123" spans="1:22" ht="15" thickBot="1" x14ac:dyDescent="0.25">
      <c r="A123" s="76" t="str">
        <f>VLOOKUP("&lt;Zeilentitel_111&gt;",Uebersetzungen!$B$3:$E$931,Uebersetzungen!$B$2+1,FALSE)</f>
        <v>U99</v>
      </c>
      <c r="B123" s="85" t="str">
        <f>VLOOKUP("&lt;Zeilentitel_111.1&gt;",Uebersetzungen!$B$3:$E$931,Uebersetzungen!$B$2+1,FALSE)</f>
        <v>Dienstleistungen exterritorialer Organisationen und Körperschaften</v>
      </c>
      <c r="D123" s="47" t="s">
        <v>673</v>
      </c>
      <c r="E123" s="67" t="s">
        <v>673</v>
      </c>
      <c r="F123" s="67" t="s">
        <v>673</v>
      </c>
      <c r="G123" s="67" t="s">
        <v>673</v>
      </c>
      <c r="H123" s="67" t="s">
        <v>673</v>
      </c>
      <c r="I123" s="67" t="s">
        <v>673</v>
      </c>
      <c r="J123" s="67" t="s">
        <v>673</v>
      </c>
      <c r="K123" s="94" t="s">
        <v>673</v>
      </c>
      <c r="L123" s="68" t="s">
        <v>673</v>
      </c>
      <c r="M123" s="43"/>
      <c r="N123" s="57" t="s">
        <v>673</v>
      </c>
      <c r="O123" s="58" t="s">
        <v>673</v>
      </c>
      <c r="P123" s="58" t="s">
        <v>673</v>
      </c>
      <c r="Q123" s="58" t="s">
        <v>673</v>
      </c>
      <c r="R123" s="58" t="s">
        <v>673</v>
      </c>
      <c r="S123" s="58" t="s">
        <v>673</v>
      </c>
      <c r="T123" s="58" t="s">
        <v>673</v>
      </c>
      <c r="U123" s="100" t="s">
        <v>673</v>
      </c>
      <c r="V123" s="59" t="s">
        <v>673</v>
      </c>
    </row>
    <row r="124" spans="1:22" x14ac:dyDescent="0.2">
      <c r="D124" s="11"/>
      <c r="E124" s="11"/>
      <c r="F124" s="11"/>
      <c r="G124" s="11"/>
      <c r="H124" s="11"/>
      <c r="I124" s="11"/>
      <c r="J124" s="11"/>
      <c r="K124" s="43"/>
      <c r="L124" s="43"/>
      <c r="M124" s="11"/>
      <c r="N124" s="11"/>
      <c r="O124" s="11"/>
      <c r="P124" s="11"/>
      <c r="Q124" s="11"/>
      <c r="R124" s="11"/>
      <c r="S124" s="11"/>
      <c r="T124" s="11"/>
      <c r="U124" s="26"/>
    </row>
    <row r="125" spans="1:22" x14ac:dyDescent="0.2">
      <c r="A125" s="23" t="str">
        <f>VLOOKUP("&lt;Legende_1&gt;",Uebersetzungen!$B$3:$E$952,Uebersetzungen!$B$2+1,FALSE)</f>
        <v>*Statistische Güterklassifikation in Verbindung mit den Wirtschaftszweigen</v>
      </c>
      <c r="D125" s="11"/>
      <c r="E125" s="11"/>
      <c r="F125" s="11"/>
      <c r="G125" s="11"/>
      <c r="H125" s="11"/>
      <c r="I125" s="11"/>
      <c r="J125" s="11"/>
      <c r="K125" s="43"/>
      <c r="L125" s="43"/>
      <c r="M125" s="11"/>
      <c r="N125" s="11"/>
      <c r="O125" s="11"/>
      <c r="P125" s="11"/>
      <c r="Q125" s="11"/>
      <c r="R125" s="11"/>
      <c r="S125" s="11"/>
      <c r="T125" s="11"/>
      <c r="U125" s="26"/>
    </row>
    <row r="126" spans="1:22" x14ac:dyDescent="0.2">
      <c r="A126" s="23" t="str">
        <f>VLOOKUP("&lt;Legende_2&gt;",Uebersetzungen!$B$3:$E$952,Uebersetzungen!$B$2+1,FALSE)</f>
        <v>**Absolute Veränderung grösser als 999.99%</v>
      </c>
      <c r="D126" s="11"/>
      <c r="E126" s="11"/>
      <c r="F126" s="11"/>
      <c r="G126" s="11"/>
      <c r="H126" s="11"/>
      <c r="I126" s="11"/>
      <c r="J126" s="11"/>
      <c r="K126" s="43"/>
      <c r="L126" s="43"/>
      <c r="M126" s="11"/>
      <c r="N126" s="11"/>
      <c r="O126" s="11"/>
      <c r="P126" s="11"/>
      <c r="Q126" s="11"/>
      <c r="R126" s="11"/>
      <c r="S126" s="11"/>
      <c r="T126" s="11"/>
      <c r="U126" s="26"/>
    </row>
    <row r="127" spans="1:22" x14ac:dyDescent="0.2">
      <c r="D127" s="6"/>
      <c r="E127" s="6"/>
      <c r="F127" s="6"/>
      <c r="G127" s="6"/>
      <c r="H127" s="6"/>
      <c r="I127" s="6"/>
      <c r="J127" s="6"/>
      <c r="K127" s="37"/>
      <c r="L127" s="37"/>
      <c r="M127" s="5"/>
      <c r="N127" s="6"/>
      <c r="O127" s="6"/>
      <c r="P127" s="6"/>
      <c r="Q127" s="6"/>
      <c r="R127" s="6"/>
      <c r="S127" s="6"/>
      <c r="T127" s="6"/>
      <c r="U127" s="26"/>
    </row>
    <row r="128" spans="1:22" x14ac:dyDescent="0.2">
      <c r="A128" s="23" t="str">
        <f>VLOOKUP("&lt;Quelle_1&gt;",Uebersetzungen!$B$3:$E$952,Uebersetzungen!$B$2+1,FALSE)</f>
        <v>Quelle: Eidgenössische Zollverwaltung (Aussenhandelsstatistik)</v>
      </c>
      <c r="D128" s="7"/>
      <c r="E128" s="7"/>
      <c r="F128" s="7"/>
      <c r="G128" s="7"/>
      <c r="H128" s="7"/>
      <c r="I128" s="7"/>
      <c r="J128" s="7"/>
      <c r="K128" s="36"/>
      <c r="L128" s="36"/>
      <c r="M128" s="7"/>
      <c r="N128" s="7"/>
      <c r="O128" s="7"/>
      <c r="P128" s="7"/>
      <c r="Q128" s="7"/>
      <c r="R128" s="7"/>
      <c r="S128" s="7"/>
      <c r="T128" s="7"/>
      <c r="U128" s="26"/>
    </row>
    <row r="129" spans="1:21" x14ac:dyDescent="0.2">
      <c r="A129" s="23" t="str">
        <f>VLOOKUP("&lt;Aktualisierung&gt;",Uebersetzungen!$B$3:$E$952,Uebersetzungen!$B$2+1,FALSE)</f>
        <v>Letztmals aktualisiert am: 09.07.2025</v>
      </c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26"/>
    </row>
  </sheetData>
  <sheetProtection sheet="1" objects="1" scenarios="1"/>
  <mergeCells count="3">
    <mergeCell ref="A7:D7"/>
    <mergeCell ref="D12:L12"/>
    <mergeCell ref="N12:V12"/>
  </mergeCells>
  <pageMargins left="0.7" right="0.7" top="0.75" bottom="0.75" header="0.3" footer="0.3"/>
  <pageSetup paperSize="9" scale="3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8369" r:id="rId4" name="Option Button 1">
              <controlPr defaultSize="0" autoFill="0" autoLine="0" autoPict="0">
                <anchor moveWithCells="1">
                  <from>
                    <xdr:col>1</xdr:col>
                    <xdr:colOff>4295775</xdr:colOff>
                    <xdr:row>1</xdr:row>
                    <xdr:rowOff>114300</xdr:rowOff>
                  </from>
                  <to>
                    <xdr:col>1</xdr:col>
                    <xdr:colOff>5467350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0" r:id="rId5" name="Option Button 2">
              <controlPr defaultSize="0" autoFill="0" autoLine="0" autoPict="0">
                <anchor moveWithCells="1">
                  <from>
                    <xdr:col>1</xdr:col>
                    <xdr:colOff>4295775</xdr:colOff>
                    <xdr:row>2</xdr:row>
                    <xdr:rowOff>114300</xdr:rowOff>
                  </from>
                  <to>
                    <xdr:col>1</xdr:col>
                    <xdr:colOff>5857875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1" r:id="rId6" name="Option Button 3">
              <controlPr defaultSize="0" autoFill="0" autoLine="0" autoPict="0">
                <anchor moveWithCells="1">
                  <from>
                    <xdr:col>1</xdr:col>
                    <xdr:colOff>4295775</xdr:colOff>
                    <xdr:row>3</xdr:row>
                    <xdr:rowOff>95250</xdr:rowOff>
                  </from>
                  <to>
                    <xdr:col>1</xdr:col>
                    <xdr:colOff>5467350</xdr:colOff>
                    <xdr:row>4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48"/>
  <sheetViews>
    <sheetView topLeftCell="A215" workbookViewId="0">
      <selection activeCell="H244" sqref="H244"/>
    </sheetView>
  </sheetViews>
  <sheetFormatPr baseColWidth="10" defaultColWidth="12.5703125" defaultRowHeight="12.75" x14ac:dyDescent="0.25"/>
  <cols>
    <col min="1" max="1" width="9.85546875" style="15" customWidth="1"/>
    <col min="2" max="2" width="30" style="15" customWidth="1"/>
    <col min="3" max="5" width="46.28515625" style="20" customWidth="1"/>
    <col min="6" max="6" width="22.42578125" style="15" customWidth="1"/>
    <col min="7" max="16384" width="12.5703125" style="15"/>
  </cols>
  <sheetData>
    <row r="1" spans="1:6" x14ac:dyDescent="0.25">
      <c r="A1" s="12" t="s">
        <v>0</v>
      </c>
      <c r="B1" s="12" t="s">
        <v>1</v>
      </c>
      <c r="C1" s="13" t="s">
        <v>2</v>
      </c>
      <c r="D1" s="13" t="s">
        <v>3</v>
      </c>
      <c r="E1" s="13" t="s">
        <v>4</v>
      </c>
      <c r="F1" s="14"/>
    </row>
    <row r="2" spans="1:6" x14ac:dyDescent="0.25">
      <c r="A2" s="16" t="s">
        <v>5</v>
      </c>
      <c r="B2" s="17">
        <v>1</v>
      </c>
      <c r="C2" s="18"/>
      <c r="D2" s="18"/>
      <c r="E2" s="18"/>
      <c r="F2" s="14"/>
    </row>
    <row r="3" spans="1:6" x14ac:dyDescent="0.25">
      <c r="A3" s="16"/>
      <c r="B3" s="15" t="s">
        <v>6</v>
      </c>
      <c r="C3" s="20" t="s">
        <v>7</v>
      </c>
      <c r="D3" s="20" t="s">
        <v>8</v>
      </c>
      <c r="E3" s="20" t="s">
        <v>9</v>
      </c>
      <c r="F3" s="14"/>
    </row>
    <row r="4" spans="1:6" x14ac:dyDescent="0.25">
      <c r="A4" s="16" t="s">
        <v>10</v>
      </c>
      <c r="B4" s="15" t="s">
        <v>11</v>
      </c>
      <c r="C4" s="20" t="s">
        <v>144</v>
      </c>
      <c r="D4" s="20" t="s">
        <v>316</v>
      </c>
      <c r="E4" s="20" t="s">
        <v>145</v>
      </c>
      <c r="F4" s="14"/>
    </row>
    <row r="5" spans="1:6" x14ac:dyDescent="0.25">
      <c r="A5" s="16"/>
      <c r="B5" s="15" t="s">
        <v>12</v>
      </c>
      <c r="F5" s="14"/>
    </row>
    <row r="6" spans="1:6" x14ac:dyDescent="0.25">
      <c r="A6" s="16"/>
      <c r="B6" s="16"/>
      <c r="C6" s="16"/>
      <c r="D6" s="16"/>
      <c r="E6" s="16"/>
      <c r="F6" s="14"/>
    </row>
    <row r="7" spans="1:6" ht="14.25" customHeight="1" x14ac:dyDescent="0.25">
      <c r="A7" s="16" t="s">
        <v>13</v>
      </c>
      <c r="B7" s="15" t="s">
        <v>14</v>
      </c>
      <c r="C7" s="20" t="s">
        <v>146</v>
      </c>
      <c r="D7" s="20" t="s">
        <v>613</v>
      </c>
      <c r="E7" s="20" t="s">
        <v>607</v>
      </c>
      <c r="F7" s="14"/>
    </row>
    <row r="8" spans="1:6" ht="15" customHeight="1" x14ac:dyDescent="0.25">
      <c r="A8" s="16"/>
      <c r="B8" s="15" t="s">
        <v>15</v>
      </c>
      <c r="C8" s="20" t="s">
        <v>147</v>
      </c>
      <c r="D8" s="20" t="s">
        <v>612</v>
      </c>
      <c r="E8" s="20" t="s">
        <v>608</v>
      </c>
      <c r="F8" s="14"/>
    </row>
    <row r="9" spans="1:6" x14ac:dyDescent="0.25">
      <c r="A9" s="16"/>
      <c r="B9" s="16"/>
      <c r="C9" s="16"/>
      <c r="D9" s="16"/>
      <c r="E9" s="16"/>
      <c r="F9" s="16"/>
    </row>
    <row r="10" spans="1:6" x14ac:dyDescent="0.25">
      <c r="A10" s="16"/>
      <c r="B10" s="15" t="s">
        <v>16</v>
      </c>
      <c r="F10" s="14"/>
    </row>
    <row r="11" spans="1:6" x14ac:dyDescent="0.25">
      <c r="A11" s="16"/>
      <c r="B11" s="15" t="s">
        <v>17</v>
      </c>
      <c r="F11" s="14"/>
    </row>
    <row r="12" spans="1:6" x14ac:dyDescent="0.25">
      <c r="A12" s="16"/>
      <c r="B12" s="14"/>
      <c r="C12" s="19"/>
      <c r="D12" s="19"/>
      <c r="E12" s="19"/>
      <c r="F12" s="14"/>
    </row>
    <row r="13" spans="1:6" s="20" customFormat="1" x14ac:dyDescent="0.25">
      <c r="A13" s="69" t="s">
        <v>10</v>
      </c>
      <c r="B13" s="20" t="s">
        <v>18</v>
      </c>
      <c r="C13" s="70" t="s">
        <v>141</v>
      </c>
      <c r="D13" s="70" t="s">
        <v>142</v>
      </c>
      <c r="E13" s="70" t="s">
        <v>143</v>
      </c>
      <c r="F13" s="19"/>
    </row>
    <row r="14" spans="1:6" s="20" customFormat="1" x14ac:dyDescent="0.25">
      <c r="A14" s="19"/>
      <c r="B14" s="20" t="s">
        <v>19</v>
      </c>
      <c r="C14" s="70" t="s">
        <v>148</v>
      </c>
      <c r="D14" s="70" t="s">
        <v>148</v>
      </c>
      <c r="E14" s="70" t="s">
        <v>148</v>
      </c>
      <c r="F14" s="19"/>
    </row>
    <row r="15" spans="1:6" s="20" customFormat="1" x14ac:dyDescent="0.25">
      <c r="A15" s="19"/>
      <c r="B15" s="20" t="s">
        <v>20</v>
      </c>
      <c r="C15" s="70" t="s">
        <v>149</v>
      </c>
      <c r="D15" s="70" t="s">
        <v>149</v>
      </c>
      <c r="E15" s="70" t="s">
        <v>149</v>
      </c>
      <c r="F15" s="19"/>
    </row>
    <row r="16" spans="1:6" s="20" customFormat="1" x14ac:dyDescent="0.25">
      <c r="A16" s="19"/>
      <c r="B16" s="20" t="s">
        <v>21</v>
      </c>
      <c r="C16" s="70" t="s">
        <v>150</v>
      </c>
      <c r="D16" s="70" t="s">
        <v>150</v>
      </c>
      <c r="E16" s="70" t="s">
        <v>150</v>
      </c>
      <c r="F16" s="19"/>
    </row>
    <row r="17" spans="1:6" s="20" customFormat="1" x14ac:dyDescent="0.25">
      <c r="A17" s="19"/>
      <c r="B17" s="20" t="s">
        <v>22</v>
      </c>
      <c r="C17" s="70" t="s">
        <v>151</v>
      </c>
      <c r="D17" s="70" t="s">
        <v>151</v>
      </c>
      <c r="E17" s="70" t="s">
        <v>151</v>
      </c>
      <c r="F17" s="19"/>
    </row>
    <row r="18" spans="1:6" s="20" customFormat="1" x14ac:dyDescent="0.25">
      <c r="A18" s="19"/>
      <c r="B18" s="20" t="s">
        <v>23</v>
      </c>
      <c r="C18" s="70" t="s">
        <v>152</v>
      </c>
      <c r="D18" s="70" t="s">
        <v>152</v>
      </c>
      <c r="E18" s="70" t="s">
        <v>152</v>
      </c>
      <c r="F18" s="19"/>
    </row>
    <row r="19" spans="1:6" s="20" customFormat="1" x14ac:dyDescent="0.25">
      <c r="A19" s="19"/>
      <c r="B19" s="20" t="s">
        <v>24</v>
      </c>
      <c r="C19" s="70" t="s">
        <v>153</v>
      </c>
      <c r="D19" s="70" t="s">
        <v>153</v>
      </c>
      <c r="E19" s="70" t="s">
        <v>153</v>
      </c>
      <c r="F19" s="19"/>
    </row>
    <row r="20" spans="1:6" s="20" customFormat="1" x14ac:dyDescent="0.25">
      <c r="A20" s="19"/>
      <c r="B20" s="20" t="s">
        <v>25</v>
      </c>
      <c r="C20" s="70" t="s">
        <v>154</v>
      </c>
      <c r="D20" s="70" t="s">
        <v>154</v>
      </c>
      <c r="E20" s="70" t="s">
        <v>154</v>
      </c>
      <c r="F20" s="19"/>
    </row>
    <row r="21" spans="1:6" s="20" customFormat="1" x14ac:dyDescent="0.25">
      <c r="A21" s="19"/>
      <c r="B21" s="20" t="s">
        <v>26</v>
      </c>
      <c r="C21" s="70" t="s">
        <v>155</v>
      </c>
      <c r="D21" s="70" t="s">
        <v>155</v>
      </c>
      <c r="E21" s="70" t="s">
        <v>155</v>
      </c>
      <c r="F21" s="19"/>
    </row>
    <row r="22" spans="1:6" s="20" customFormat="1" x14ac:dyDescent="0.25">
      <c r="A22" s="19"/>
      <c r="B22" s="20" t="s">
        <v>27</v>
      </c>
      <c r="C22" s="70" t="s">
        <v>156</v>
      </c>
      <c r="D22" s="70" t="s">
        <v>156</v>
      </c>
      <c r="E22" s="70" t="s">
        <v>156</v>
      </c>
      <c r="F22" s="19"/>
    </row>
    <row r="23" spans="1:6" s="20" customFormat="1" x14ac:dyDescent="0.25">
      <c r="A23" s="19"/>
      <c r="B23" s="20" t="s">
        <v>28</v>
      </c>
      <c r="C23" s="70" t="s">
        <v>157</v>
      </c>
      <c r="D23" s="70" t="s">
        <v>157</v>
      </c>
      <c r="E23" s="70" t="s">
        <v>157</v>
      </c>
      <c r="F23" s="19"/>
    </row>
    <row r="24" spans="1:6" s="20" customFormat="1" x14ac:dyDescent="0.25">
      <c r="A24" s="19"/>
      <c r="B24" s="20" t="s">
        <v>29</v>
      </c>
      <c r="C24" s="70" t="s">
        <v>158</v>
      </c>
      <c r="D24" s="70" t="s">
        <v>158</v>
      </c>
      <c r="E24" s="70" t="s">
        <v>158</v>
      </c>
      <c r="F24" s="19"/>
    </row>
    <row r="25" spans="1:6" s="20" customFormat="1" x14ac:dyDescent="0.25">
      <c r="A25" s="19"/>
      <c r="B25" s="20" t="s">
        <v>30</v>
      </c>
      <c r="C25" s="70" t="s">
        <v>159</v>
      </c>
      <c r="D25" s="70" t="s">
        <v>159</v>
      </c>
      <c r="E25" s="70" t="s">
        <v>159</v>
      </c>
      <c r="F25" s="19"/>
    </row>
    <row r="26" spans="1:6" s="20" customFormat="1" x14ac:dyDescent="0.25">
      <c r="A26" s="19"/>
      <c r="B26" s="20" t="s">
        <v>31</v>
      </c>
      <c r="C26" s="70" t="s">
        <v>160</v>
      </c>
      <c r="D26" s="70" t="s">
        <v>160</v>
      </c>
      <c r="E26" s="70" t="s">
        <v>160</v>
      </c>
      <c r="F26" s="19"/>
    </row>
    <row r="27" spans="1:6" s="20" customFormat="1" x14ac:dyDescent="0.25">
      <c r="A27" s="19"/>
      <c r="B27" s="20" t="s">
        <v>32</v>
      </c>
      <c r="C27" s="70" t="s">
        <v>161</v>
      </c>
      <c r="D27" s="70" t="s">
        <v>161</v>
      </c>
      <c r="E27" s="70" t="s">
        <v>161</v>
      </c>
      <c r="F27" s="19"/>
    </row>
    <row r="28" spans="1:6" s="20" customFormat="1" x14ac:dyDescent="0.25">
      <c r="A28" s="19"/>
      <c r="B28" s="20" t="s">
        <v>33</v>
      </c>
      <c r="C28" s="70" t="s">
        <v>162</v>
      </c>
      <c r="D28" s="70" t="s">
        <v>162</v>
      </c>
      <c r="E28" s="70" t="s">
        <v>162</v>
      </c>
      <c r="F28" s="19"/>
    </row>
    <row r="29" spans="1:6" s="20" customFormat="1" x14ac:dyDescent="0.25">
      <c r="A29" s="19"/>
      <c r="B29" s="20" t="s">
        <v>34</v>
      </c>
      <c r="C29" s="70" t="s">
        <v>163</v>
      </c>
      <c r="D29" s="70" t="s">
        <v>163</v>
      </c>
      <c r="E29" s="70" t="s">
        <v>163</v>
      </c>
      <c r="F29" s="19"/>
    </row>
    <row r="30" spans="1:6" s="20" customFormat="1" x14ac:dyDescent="0.25">
      <c r="A30" s="19"/>
      <c r="B30" s="20" t="s">
        <v>35</v>
      </c>
      <c r="C30" s="70" t="s">
        <v>164</v>
      </c>
      <c r="D30" s="70" t="s">
        <v>164</v>
      </c>
      <c r="E30" s="70" t="s">
        <v>164</v>
      </c>
      <c r="F30" s="19"/>
    </row>
    <row r="31" spans="1:6" s="20" customFormat="1" x14ac:dyDescent="0.25">
      <c r="A31" s="19"/>
      <c r="B31" s="20" t="s">
        <v>36</v>
      </c>
      <c r="C31" s="70" t="s">
        <v>165</v>
      </c>
      <c r="D31" s="70" t="s">
        <v>165</v>
      </c>
      <c r="E31" s="70" t="s">
        <v>165</v>
      </c>
      <c r="F31" s="19"/>
    </row>
    <row r="32" spans="1:6" s="20" customFormat="1" x14ac:dyDescent="0.25">
      <c r="A32" s="19"/>
      <c r="B32" s="20" t="s">
        <v>37</v>
      </c>
      <c r="C32" s="70" t="s">
        <v>166</v>
      </c>
      <c r="D32" s="70" t="s">
        <v>166</v>
      </c>
      <c r="E32" s="70" t="s">
        <v>166</v>
      </c>
      <c r="F32" s="19"/>
    </row>
    <row r="33" spans="1:6" s="20" customFormat="1" x14ac:dyDescent="0.25">
      <c r="A33" s="19"/>
      <c r="B33" s="20" t="s">
        <v>38</v>
      </c>
      <c r="C33" s="70" t="s">
        <v>167</v>
      </c>
      <c r="D33" s="70" t="s">
        <v>167</v>
      </c>
      <c r="E33" s="70" t="s">
        <v>167</v>
      </c>
      <c r="F33" s="19"/>
    </row>
    <row r="34" spans="1:6" s="20" customFormat="1" x14ac:dyDescent="0.25">
      <c r="A34" s="19"/>
      <c r="B34" s="20" t="s">
        <v>39</v>
      </c>
      <c r="C34" s="70" t="s">
        <v>168</v>
      </c>
      <c r="D34" s="70" t="s">
        <v>168</v>
      </c>
      <c r="E34" s="70" t="s">
        <v>168</v>
      </c>
      <c r="F34" s="19"/>
    </row>
    <row r="35" spans="1:6" s="20" customFormat="1" x14ac:dyDescent="0.25">
      <c r="A35" s="19"/>
      <c r="B35" s="20" t="s">
        <v>40</v>
      </c>
      <c r="C35" s="70" t="s">
        <v>169</v>
      </c>
      <c r="D35" s="70" t="s">
        <v>169</v>
      </c>
      <c r="E35" s="70" t="s">
        <v>169</v>
      </c>
      <c r="F35" s="19"/>
    </row>
    <row r="36" spans="1:6" s="20" customFormat="1" x14ac:dyDescent="0.25">
      <c r="A36" s="19"/>
      <c r="B36" s="20" t="s">
        <v>41</v>
      </c>
      <c r="C36" s="70" t="s">
        <v>170</v>
      </c>
      <c r="D36" s="70" t="s">
        <v>170</v>
      </c>
      <c r="E36" s="70" t="s">
        <v>170</v>
      </c>
      <c r="F36" s="19"/>
    </row>
    <row r="37" spans="1:6" s="20" customFormat="1" x14ac:dyDescent="0.25">
      <c r="A37" s="19"/>
      <c r="B37" s="20" t="s">
        <v>42</v>
      </c>
      <c r="C37" s="70" t="s">
        <v>171</v>
      </c>
      <c r="D37" s="70" t="s">
        <v>171</v>
      </c>
      <c r="E37" s="70" t="s">
        <v>171</v>
      </c>
      <c r="F37" s="19"/>
    </row>
    <row r="38" spans="1:6" s="20" customFormat="1" x14ac:dyDescent="0.25">
      <c r="A38" s="19"/>
      <c r="B38" s="20" t="s">
        <v>43</v>
      </c>
      <c r="C38" s="70" t="s">
        <v>172</v>
      </c>
      <c r="D38" s="70" t="s">
        <v>172</v>
      </c>
      <c r="E38" s="70" t="s">
        <v>172</v>
      </c>
      <c r="F38" s="19"/>
    </row>
    <row r="39" spans="1:6" s="20" customFormat="1" x14ac:dyDescent="0.25">
      <c r="A39" s="19"/>
      <c r="B39" s="20" t="s">
        <v>44</v>
      </c>
      <c r="C39" s="70" t="s">
        <v>173</v>
      </c>
      <c r="D39" s="70" t="s">
        <v>173</v>
      </c>
      <c r="E39" s="70" t="s">
        <v>173</v>
      </c>
      <c r="F39" s="19"/>
    </row>
    <row r="40" spans="1:6" s="20" customFormat="1" x14ac:dyDescent="0.25">
      <c r="A40" s="69" t="s">
        <v>10</v>
      </c>
      <c r="B40" s="20" t="s">
        <v>51</v>
      </c>
      <c r="C40" s="70" t="s">
        <v>174</v>
      </c>
      <c r="D40" s="70" t="s">
        <v>174</v>
      </c>
      <c r="E40" s="70" t="s">
        <v>174</v>
      </c>
      <c r="F40" s="19"/>
    </row>
    <row r="41" spans="1:6" s="20" customFormat="1" x14ac:dyDescent="0.25">
      <c r="A41" s="19"/>
      <c r="B41" s="20" t="s">
        <v>55</v>
      </c>
      <c r="C41" s="70" t="s">
        <v>175</v>
      </c>
      <c r="D41" s="70" t="s">
        <v>175</v>
      </c>
      <c r="E41" s="70" t="s">
        <v>175</v>
      </c>
      <c r="F41" s="19"/>
    </row>
    <row r="42" spans="1:6" s="20" customFormat="1" x14ac:dyDescent="0.25">
      <c r="A42" s="19"/>
      <c r="B42" s="20" t="s">
        <v>52</v>
      </c>
      <c r="C42" s="70" t="s">
        <v>176</v>
      </c>
      <c r="D42" s="70" t="s">
        <v>176</v>
      </c>
      <c r="E42" s="70" t="s">
        <v>176</v>
      </c>
      <c r="F42" s="19"/>
    </row>
    <row r="43" spans="1:6" s="20" customFormat="1" x14ac:dyDescent="0.25">
      <c r="A43" s="19"/>
      <c r="B43" s="20" t="s">
        <v>53</v>
      </c>
      <c r="C43" s="70" t="s">
        <v>177</v>
      </c>
      <c r="D43" s="70" t="s">
        <v>177</v>
      </c>
      <c r="E43" s="70" t="s">
        <v>177</v>
      </c>
      <c r="F43" s="19"/>
    </row>
    <row r="44" spans="1:6" s="20" customFormat="1" x14ac:dyDescent="0.25">
      <c r="A44" s="19"/>
      <c r="B44" s="20" t="s">
        <v>54</v>
      </c>
      <c r="C44" s="70" t="s">
        <v>178</v>
      </c>
      <c r="D44" s="70" t="s">
        <v>178</v>
      </c>
      <c r="E44" s="70" t="s">
        <v>178</v>
      </c>
      <c r="F44" s="19"/>
    </row>
    <row r="45" spans="1:6" s="20" customFormat="1" x14ac:dyDescent="0.25">
      <c r="A45" s="19"/>
      <c r="B45" s="20" t="s">
        <v>60</v>
      </c>
      <c r="C45" s="70" t="s">
        <v>179</v>
      </c>
      <c r="D45" s="70" t="s">
        <v>179</v>
      </c>
      <c r="E45" s="70" t="s">
        <v>179</v>
      </c>
      <c r="F45" s="19"/>
    </row>
    <row r="46" spans="1:6" s="20" customFormat="1" x14ac:dyDescent="0.25">
      <c r="A46" s="19"/>
      <c r="B46" s="20" t="s">
        <v>61</v>
      </c>
      <c r="C46" s="70" t="s">
        <v>180</v>
      </c>
      <c r="D46" s="70" t="s">
        <v>180</v>
      </c>
      <c r="E46" s="70" t="s">
        <v>180</v>
      </c>
      <c r="F46" s="19"/>
    </row>
    <row r="47" spans="1:6" s="20" customFormat="1" x14ac:dyDescent="0.25">
      <c r="A47" s="19"/>
      <c r="B47" s="20" t="s">
        <v>62</v>
      </c>
      <c r="C47" s="70" t="s">
        <v>181</v>
      </c>
      <c r="D47" s="70" t="s">
        <v>181</v>
      </c>
      <c r="E47" s="70" t="s">
        <v>181</v>
      </c>
      <c r="F47" s="19"/>
    </row>
    <row r="48" spans="1:6" s="20" customFormat="1" x14ac:dyDescent="0.25">
      <c r="A48" s="19"/>
      <c r="B48" s="20" t="s">
        <v>66</v>
      </c>
      <c r="C48" s="70" t="s">
        <v>182</v>
      </c>
      <c r="D48" s="70" t="s">
        <v>182</v>
      </c>
      <c r="E48" s="70" t="s">
        <v>182</v>
      </c>
      <c r="F48" s="19"/>
    </row>
    <row r="49" spans="1:6" s="20" customFormat="1" x14ac:dyDescent="0.25">
      <c r="A49" s="19"/>
      <c r="B49" s="20" t="s">
        <v>67</v>
      </c>
      <c r="C49" s="70" t="s">
        <v>183</v>
      </c>
      <c r="D49" s="70" t="s">
        <v>183</v>
      </c>
      <c r="E49" s="70" t="s">
        <v>183</v>
      </c>
      <c r="F49" s="19"/>
    </row>
    <row r="50" spans="1:6" s="20" customFormat="1" x14ac:dyDescent="0.25">
      <c r="A50" s="19"/>
      <c r="B50" s="20" t="s">
        <v>68</v>
      </c>
      <c r="C50" s="70" t="s">
        <v>184</v>
      </c>
      <c r="D50" s="70" t="s">
        <v>184</v>
      </c>
      <c r="E50" s="70" t="s">
        <v>184</v>
      </c>
      <c r="F50" s="19"/>
    </row>
    <row r="51" spans="1:6" s="20" customFormat="1" x14ac:dyDescent="0.25">
      <c r="A51" s="19"/>
      <c r="B51" s="20" t="s">
        <v>69</v>
      </c>
      <c r="C51" s="70" t="s">
        <v>185</v>
      </c>
      <c r="D51" s="70" t="s">
        <v>185</v>
      </c>
      <c r="E51" s="70" t="s">
        <v>185</v>
      </c>
      <c r="F51" s="19"/>
    </row>
    <row r="52" spans="1:6" s="20" customFormat="1" x14ac:dyDescent="0.25">
      <c r="A52" s="19"/>
      <c r="B52" s="20" t="s">
        <v>70</v>
      </c>
      <c r="C52" s="70" t="s">
        <v>186</v>
      </c>
      <c r="D52" s="70" t="s">
        <v>186</v>
      </c>
      <c r="E52" s="70" t="s">
        <v>186</v>
      </c>
      <c r="F52" s="19"/>
    </row>
    <row r="53" spans="1:6" s="20" customFormat="1" x14ac:dyDescent="0.25">
      <c r="A53" s="19"/>
      <c r="B53" s="20" t="s">
        <v>71</v>
      </c>
      <c r="C53" s="70" t="s">
        <v>187</v>
      </c>
      <c r="D53" s="70" t="s">
        <v>187</v>
      </c>
      <c r="E53" s="70" t="s">
        <v>187</v>
      </c>
      <c r="F53" s="19"/>
    </row>
    <row r="54" spans="1:6" s="20" customFormat="1" x14ac:dyDescent="0.25">
      <c r="A54" s="19"/>
      <c r="B54" s="20" t="s">
        <v>72</v>
      </c>
      <c r="C54" s="70" t="s">
        <v>188</v>
      </c>
      <c r="D54" s="70" t="s">
        <v>188</v>
      </c>
      <c r="E54" s="70" t="s">
        <v>188</v>
      </c>
      <c r="F54" s="19"/>
    </row>
    <row r="55" spans="1:6" s="20" customFormat="1" x14ac:dyDescent="0.25">
      <c r="A55" s="19"/>
      <c r="B55" s="20" t="s">
        <v>73</v>
      </c>
      <c r="C55" s="70" t="s">
        <v>189</v>
      </c>
      <c r="D55" s="70" t="s">
        <v>189</v>
      </c>
      <c r="E55" s="70" t="s">
        <v>189</v>
      </c>
      <c r="F55" s="19"/>
    </row>
    <row r="56" spans="1:6" s="20" customFormat="1" x14ac:dyDescent="0.25">
      <c r="A56" s="19"/>
      <c r="B56" s="20" t="s">
        <v>74</v>
      </c>
      <c r="C56" s="70" t="s">
        <v>190</v>
      </c>
      <c r="D56" s="70" t="s">
        <v>190</v>
      </c>
      <c r="E56" s="70" t="s">
        <v>190</v>
      </c>
      <c r="F56" s="19"/>
    </row>
    <row r="57" spans="1:6" s="20" customFormat="1" x14ac:dyDescent="0.25">
      <c r="A57" s="19"/>
      <c r="B57" s="20" t="s">
        <v>75</v>
      </c>
      <c r="C57" s="70" t="s">
        <v>191</v>
      </c>
      <c r="D57" s="70" t="s">
        <v>191</v>
      </c>
      <c r="E57" s="70" t="s">
        <v>191</v>
      </c>
      <c r="F57" s="19"/>
    </row>
    <row r="58" spans="1:6" s="20" customFormat="1" x14ac:dyDescent="0.25">
      <c r="A58" s="19"/>
      <c r="B58" s="20" t="s">
        <v>76</v>
      </c>
      <c r="C58" s="70" t="s">
        <v>192</v>
      </c>
      <c r="D58" s="70" t="s">
        <v>192</v>
      </c>
      <c r="E58" s="70" t="s">
        <v>192</v>
      </c>
      <c r="F58" s="19"/>
    </row>
    <row r="59" spans="1:6" s="20" customFormat="1" x14ac:dyDescent="0.25">
      <c r="A59" s="19"/>
      <c r="B59" s="20" t="s">
        <v>77</v>
      </c>
      <c r="C59" s="70" t="s">
        <v>193</v>
      </c>
      <c r="D59" s="70" t="s">
        <v>193</v>
      </c>
      <c r="E59" s="70" t="s">
        <v>193</v>
      </c>
      <c r="F59" s="19"/>
    </row>
    <row r="60" spans="1:6" s="20" customFormat="1" x14ac:dyDescent="0.25">
      <c r="A60" s="19"/>
      <c r="B60" s="20" t="s">
        <v>78</v>
      </c>
      <c r="C60" s="70" t="s">
        <v>194</v>
      </c>
      <c r="D60" s="70" t="s">
        <v>194</v>
      </c>
      <c r="E60" s="70" t="s">
        <v>194</v>
      </c>
      <c r="F60" s="19"/>
    </row>
    <row r="61" spans="1:6" s="20" customFormat="1" x14ac:dyDescent="0.25">
      <c r="A61" s="19"/>
      <c r="B61" s="20" t="s">
        <v>79</v>
      </c>
      <c r="C61" s="70" t="s">
        <v>195</v>
      </c>
      <c r="D61" s="70" t="s">
        <v>195</v>
      </c>
      <c r="E61" s="70" t="s">
        <v>195</v>
      </c>
      <c r="F61" s="19"/>
    </row>
    <row r="62" spans="1:6" s="20" customFormat="1" x14ac:dyDescent="0.25">
      <c r="A62" s="19"/>
      <c r="B62" s="20" t="s">
        <v>80</v>
      </c>
      <c r="C62" s="70" t="s">
        <v>196</v>
      </c>
      <c r="D62" s="70" t="s">
        <v>196</v>
      </c>
      <c r="E62" s="70" t="s">
        <v>196</v>
      </c>
      <c r="F62" s="19"/>
    </row>
    <row r="63" spans="1:6" s="20" customFormat="1" x14ac:dyDescent="0.25">
      <c r="A63" s="19"/>
      <c r="B63" s="20" t="s">
        <v>81</v>
      </c>
      <c r="C63" s="70" t="s">
        <v>197</v>
      </c>
      <c r="D63" s="70" t="s">
        <v>197</v>
      </c>
      <c r="E63" s="70" t="s">
        <v>197</v>
      </c>
      <c r="F63" s="19"/>
    </row>
    <row r="64" spans="1:6" s="20" customFormat="1" x14ac:dyDescent="0.25">
      <c r="A64" s="19"/>
      <c r="B64" s="20" t="s">
        <v>82</v>
      </c>
      <c r="C64" s="70" t="s">
        <v>198</v>
      </c>
      <c r="D64" s="70" t="s">
        <v>198</v>
      </c>
      <c r="E64" s="70" t="s">
        <v>198</v>
      </c>
      <c r="F64" s="19"/>
    </row>
    <row r="65" spans="1:6" s="20" customFormat="1" x14ac:dyDescent="0.25">
      <c r="A65" s="19"/>
      <c r="B65" s="20" t="s">
        <v>83</v>
      </c>
      <c r="C65" s="70" t="s">
        <v>199</v>
      </c>
      <c r="D65" s="70" t="s">
        <v>199</v>
      </c>
      <c r="E65" s="70" t="s">
        <v>199</v>
      </c>
      <c r="F65" s="19"/>
    </row>
    <row r="66" spans="1:6" s="20" customFormat="1" x14ac:dyDescent="0.25">
      <c r="A66" s="19"/>
      <c r="B66" s="20" t="s">
        <v>84</v>
      </c>
      <c r="C66" s="70" t="s">
        <v>200</v>
      </c>
      <c r="D66" s="70" t="s">
        <v>200</v>
      </c>
      <c r="E66" s="70" t="s">
        <v>200</v>
      </c>
      <c r="F66" s="19"/>
    </row>
    <row r="67" spans="1:6" s="20" customFormat="1" x14ac:dyDescent="0.25">
      <c r="A67" s="19"/>
      <c r="B67" s="20" t="s">
        <v>258</v>
      </c>
      <c r="C67" s="70" t="s">
        <v>201</v>
      </c>
      <c r="D67" s="70" t="s">
        <v>201</v>
      </c>
      <c r="E67" s="70" t="s">
        <v>201</v>
      </c>
      <c r="F67" s="19"/>
    </row>
    <row r="68" spans="1:6" s="20" customFormat="1" x14ac:dyDescent="0.25">
      <c r="A68" s="19"/>
      <c r="B68" s="20" t="s">
        <v>259</v>
      </c>
      <c r="C68" s="70" t="s">
        <v>202</v>
      </c>
      <c r="D68" s="70" t="s">
        <v>202</v>
      </c>
      <c r="E68" s="70" t="s">
        <v>202</v>
      </c>
      <c r="F68" s="19"/>
    </row>
    <row r="69" spans="1:6" s="20" customFormat="1" x14ac:dyDescent="0.25">
      <c r="A69" s="19"/>
      <c r="B69" s="20" t="s">
        <v>260</v>
      </c>
      <c r="C69" s="70" t="s">
        <v>203</v>
      </c>
      <c r="D69" s="70" t="s">
        <v>203</v>
      </c>
      <c r="E69" s="70" t="s">
        <v>203</v>
      </c>
      <c r="F69" s="19"/>
    </row>
    <row r="70" spans="1:6" s="20" customFormat="1" x14ac:dyDescent="0.25">
      <c r="A70" s="19"/>
      <c r="B70" s="20" t="s">
        <v>261</v>
      </c>
      <c r="C70" s="70" t="s">
        <v>204</v>
      </c>
      <c r="D70" s="70" t="s">
        <v>204</v>
      </c>
      <c r="E70" s="70" t="s">
        <v>204</v>
      </c>
      <c r="F70" s="19"/>
    </row>
    <row r="71" spans="1:6" s="20" customFormat="1" x14ac:dyDescent="0.25">
      <c r="A71" s="19"/>
      <c r="B71" s="20" t="s">
        <v>262</v>
      </c>
      <c r="C71" s="70" t="s">
        <v>205</v>
      </c>
      <c r="D71" s="70" t="s">
        <v>205</v>
      </c>
      <c r="E71" s="70" t="s">
        <v>205</v>
      </c>
      <c r="F71" s="19"/>
    </row>
    <row r="72" spans="1:6" s="20" customFormat="1" x14ac:dyDescent="0.25">
      <c r="A72" s="19"/>
      <c r="B72" s="20" t="s">
        <v>263</v>
      </c>
      <c r="C72" s="70" t="s">
        <v>206</v>
      </c>
      <c r="D72" s="70" t="s">
        <v>206</v>
      </c>
      <c r="E72" s="70" t="s">
        <v>206</v>
      </c>
      <c r="F72" s="19"/>
    </row>
    <row r="73" spans="1:6" s="20" customFormat="1" x14ac:dyDescent="0.25">
      <c r="A73" s="19"/>
      <c r="B73" s="20" t="s">
        <v>264</v>
      </c>
      <c r="C73" s="70" t="s">
        <v>207</v>
      </c>
      <c r="D73" s="70" t="s">
        <v>207</v>
      </c>
      <c r="E73" s="70" t="s">
        <v>207</v>
      </c>
      <c r="F73" s="19"/>
    </row>
    <row r="74" spans="1:6" s="20" customFormat="1" x14ac:dyDescent="0.25">
      <c r="A74" s="19"/>
      <c r="B74" s="20" t="s">
        <v>265</v>
      </c>
      <c r="C74" s="70" t="s">
        <v>208</v>
      </c>
      <c r="D74" s="70" t="s">
        <v>208</v>
      </c>
      <c r="E74" s="70" t="s">
        <v>208</v>
      </c>
      <c r="F74" s="19"/>
    </row>
    <row r="75" spans="1:6" s="20" customFormat="1" x14ac:dyDescent="0.25">
      <c r="A75" s="19"/>
      <c r="B75" s="20" t="s">
        <v>266</v>
      </c>
      <c r="C75" s="70" t="s">
        <v>209</v>
      </c>
      <c r="D75" s="70" t="s">
        <v>209</v>
      </c>
      <c r="E75" s="70" t="s">
        <v>209</v>
      </c>
      <c r="F75" s="19"/>
    </row>
    <row r="76" spans="1:6" s="20" customFormat="1" x14ac:dyDescent="0.25">
      <c r="A76" s="19"/>
      <c r="B76" s="20" t="s">
        <v>267</v>
      </c>
      <c r="C76" s="70" t="s">
        <v>210</v>
      </c>
      <c r="D76" s="70" t="s">
        <v>210</v>
      </c>
      <c r="E76" s="70" t="s">
        <v>210</v>
      </c>
      <c r="F76" s="19"/>
    </row>
    <row r="77" spans="1:6" s="20" customFormat="1" x14ac:dyDescent="0.25">
      <c r="A77" s="19"/>
      <c r="B77" s="20" t="s">
        <v>268</v>
      </c>
      <c r="C77" s="70" t="s">
        <v>211</v>
      </c>
      <c r="D77" s="70" t="s">
        <v>211</v>
      </c>
      <c r="E77" s="70" t="s">
        <v>211</v>
      </c>
      <c r="F77" s="19"/>
    </row>
    <row r="78" spans="1:6" s="20" customFormat="1" x14ac:dyDescent="0.25">
      <c r="A78" s="19"/>
      <c r="B78" s="20" t="s">
        <v>269</v>
      </c>
      <c r="C78" s="70" t="s">
        <v>212</v>
      </c>
      <c r="D78" s="70" t="s">
        <v>212</v>
      </c>
      <c r="E78" s="70" t="s">
        <v>212</v>
      </c>
      <c r="F78" s="19"/>
    </row>
    <row r="79" spans="1:6" s="20" customFormat="1" x14ac:dyDescent="0.25">
      <c r="A79" s="19"/>
      <c r="B79" s="20" t="s">
        <v>270</v>
      </c>
      <c r="C79" s="70" t="s">
        <v>213</v>
      </c>
      <c r="D79" s="70" t="s">
        <v>213</v>
      </c>
      <c r="E79" s="70" t="s">
        <v>213</v>
      </c>
      <c r="F79" s="19"/>
    </row>
    <row r="80" spans="1:6" s="20" customFormat="1" x14ac:dyDescent="0.25">
      <c r="A80" s="19"/>
      <c r="B80" s="20" t="s">
        <v>271</v>
      </c>
      <c r="C80" s="70" t="s">
        <v>214</v>
      </c>
      <c r="D80" s="70" t="s">
        <v>214</v>
      </c>
      <c r="E80" s="70" t="s">
        <v>214</v>
      </c>
      <c r="F80" s="19"/>
    </row>
    <row r="81" spans="1:6" s="20" customFormat="1" x14ac:dyDescent="0.25">
      <c r="A81" s="19"/>
      <c r="B81" s="20" t="s">
        <v>272</v>
      </c>
      <c r="C81" s="70" t="s">
        <v>215</v>
      </c>
      <c r="D81" s="70" t="s">
        <v>215</v>
      </c>
      <c r="E81" s="70" t="s">
        <v>215</v>
      </c>
      <c r="F81" s="19"/>
    </row>
    <row r="82" spans="1:6" s="20" customFormat="1" x14ac:dyDescent="0.25">
      <c r="A82" s="19"/>
      <c r="B82" s="20" t="s">
        <v>273</v>
      </c>
      <c r="C82" s="70" t="s">
        <v>216</v>
      </c>
      <c r="D82" s="70" t="s">
        <v>216</v>
      </c>
      <c r="E82" s="70" t="s">
        <v>216</v>
      </c>
      <c r="F82" s="19"/>
    </row>
    <row r="83" spans="1:6" s="20" customFormat="1" x14ac:dyDescent="0.25">
      <c r="A83" s="19"/>
      <c r="B83" s="20" t="s">
        <v>274</v>
      </c>
      <c r="C83" s="70" t="s">
        <v>217</v>
      </c>
      <c r="D83" s="70" t="s">
        <v>217</v>
      </c>
      <c r="E83" s="70" t="s">
        <v>217</v>
      </c>
      <c r="F83" s="19"/>
    </row>
    <row r="84" spans="1:6" s="20" customFormat="1" x14ac:dyDescent="0.25">
      <c r="A84" s="19"/>
      <c r="B84" s="20" t="s">
        <v>275</v>
      </c>
      <c r="C84" s="70" t="s">
        <v>218</v>
      </c>
      <c r="D84" s="70" t="s">
        <v>218</v>
      </c>
      <c r="E84" s="70" t="s">
        <v>218</v>
      </c>
      <c r="F84" s="19"/>
    </row>
    <row r="85" spans="1:6" s="20" customFormat="1" x14ac:dyDescent="0.25">
      <c r="A85" s="19"/>
      <c r="B85" s="20" t="s">
        <v>276</v>
      </c>
      <c r="C85" s="70" t="s">
        <v>219</v>
      </c>
      <c r="D85" s="70" t="s">
        <v>219</v>
      </c>
      <c r="E85" s="70" t="s">
        <v>219</v>
      </c>
      <c r="F85" s="19"/>
    </row>
    <row r="86" spans="1:6" s="20" customFormat="1" x14ac:dyDescent="0.25">
      <c r="A86" s="19"/>
      <c r="B86" s="20" t="s">
        <v>277</v>
      </c>
      <c r="C86" s="70" t="s">
        <v>220</v>
      </c>
      <c r="D86" s="70" t="s">
        <v>220</v>
      </c>
      <c r="E86" s="70" t="s">
        <v>220</v>
      </c>
      <c r="F86" s="19"/>
    </row>
    <row r="87" spans="1:6" s="20" customFormat="1" x14ac:dyDescent="0.25">
      <c r="A87" s="19"/>
      <c r="B87" s="20" t="s">
        <v>278</v>
      </c>
      <c r="C87" s="70" t="s">
        <v>221</v>
      </c>
      <c r="D87" s="70" t="s">
        <v>221</v>
      </c>
      <c r="E87" s="70" t="s">
        <v>221</v>
      </c>
      <c r="F87" s="19"/>
    </row>
    <row r="88" spans="1:6" s="20" customFormat="1" x14ac:dyDescent="0.25">
      <c r="A88" s="19"/>
      <c r="B88" s="20" t="s">
        <v>279</v>
      </c>
      <c r="C88" s="70" t="s">
        <v>222</v>
      </c>
      <c r="D88" s="70" t="s">
        <v>222</v>
      </c>
      <c r="E88" s="70" t="s">
        <v>222</v>
      </c>
      <c r="F88" s="19"/>
    </row>
    <row r="89" spans="1:6" s="20" customFormat="1" x14ac:dyDescent="0.25">
      <c r="A89" s="19"/>
      <c r="B89" s="20" t="s">
        <v>280</v>
      </c>
      <c r="C89" s="70" t="s">
        <v>223</v>
      </c>
      <c r="D89" s="70" t="s">
        <v>223</v>
      </c>
      <c r="E89" s="70" t="s">
        <v>223</v>
      </c>
      <c r="F89" s="19"/>
    </row>
    <row r="90" spans="1:6" s="20" customFormat="1" x14ac:dyDescent="0.25">
      <c r="A90" s="19"/>
      <c r="B90" s="20" t="s">
        <v>281</v>
      </c>
      <c r="C90" s="70" t="s">
        <v>224</v>
      </c>
      <c r="D90" s="70" t="s">
        <v>224</v>
      </c>
      <c r="E90" s="70" t="s">
        <v>224</v>
      </c>
      <c r="F90" s="19"/>
    </row>
    <row r="91" spans="1:6" s="20" customFormat="1" x14ac:dyDescent="0.25">
      <c r="A91" s="19"/>
      <c r="B91" s="20" t="s">
        <v>282</v>
      </c>
      <c r="C91" s="70" t="s">
        <v>225</v>
      </c>
      <c r="D91" s="70" t="s">
        <v>225</v>
      </c>
      <c r="E91" s="70" t="s">
        <v>225</v>
      </c>
      <c r="F91" s="19"/>
    </row>
    <row r="92" spans="1:6" s="20" customFormat="1" x14ac:dyDescent="0.25">
      <c r="A92" s="19"/>
      <c r="B92" s="20" t="s">
        <v>283</v>
      </c>
      <c r="C92" s="70" t="s">
        <v>226</v>
      </c>
      <c r="D92" s="70" t="s">
        <v>226</v>
      </c>
      <c r="E92" s="70" t="s">
        <v>226</v>
      </c>
      <c r="F92" s="19"/>
    </row>
    <row r="93" spans="1:6" s="20" customFormat="1" x14ac:dyDescent="0.25">
      <c r="A93" s="19"/>
      <c r="B93" s="20" t="s">
        <v>284</v>
      </c>
      <c r="C93" s="70" t="s">
        <v>227</v>
      </c>
      <c r="D93" s="70" t="s">
        <v>227</v>
      </c>
      <c r="E93" s="70" t="s">
        <v>227</v>
      </c>
      <c r="F93" s="19"/>
    </row>
    <row r="94" spans="1:6" s="20" customFormat="1" x14ac:dyDescent="0.25">
      <c r="A94" s="19"/>
      <c r="B94" s="20" t="s">
        <v>285</v>
      </c>
      <c r="C94" s="70" t="s">
        <v>228</v>
      </c>
      <c r="D94" s="70" t="s">
        <v>228</v>
      </c>
      <c r="E94" s="70" t="s">
        <v>228</v>
      </c>
      <c r="F94" s="19"/>
    </row>
    <row r="95" spans="1:6" s="20" customFormat="1" x14ac:dyDescent="0.25">
      <c r="A95" s="19"/>
      <c r="B95" s="20" t="s">
        <v>286</v>
      </c>
      <c r="C95" s="70" t="s">
        <v>229</v>
      </c>
      <c r="D95" s="70" t="s">
        <v>229</v>
      </c>
      <c r="E95" s="70" t="s">
        <v>229</v>
      </c>
      <c r="F95" s="19"/>
    </row>
    <row r="96" spans="1:6" s="20" customFormat="1" x14ac:dyDescent="0.25">
      <c r="A96" s="19"/>
      <c r="B96" s="20" t="s">
        <v>287</v>
      </c>
      <c r="C96" s="70" t="s">
        <v>230</v>
      </c>
      <c r="D96" s="70" t="s">
        <v>230</v>
      </c>
      <c r="E96" s="70" t="s">
        <v>230</v>
      </c>
      <c r="F96" s="19"/>
    </row>
    <row r="97" spans="1:6" s="20" customFormat="1" x14ac:dyDescent="0.25">
      <c r="A97" s="19"/>
      <c r="B97" s="20" t="s">
        <v>288</v>
      </c>
      <c r="C97" s="70" t="s">
        <v>231</v>
      </c>
      <c r="D97" s="70" t="s">
        <v>231</v>
      </c>
      <c r="E97" s="70" t="s">
        <v>231</v>
      </c>
      <c r="F97" s="19"/>
    </row>
    <row r="98" spans="1:6" s="20" customFormat="1" x14ac:dyDescent="0.25">
      <c r="A98" s="19"/>
      <c r="B98" s="20" t="s">
        <v>289</v>
      </c>
      <c r="C98" s="70" t="s">
        <v>232</v>
      </c>
      <c r="D98" s="70" t="s">
        <v>232</v>
      </c>
      <c r="E98" s="70" t="s">
        <v>232</v>
      </c>
      <c r="F98" s="19"/>
    </row>
    <row r="99" spans="1:6" s="20" customFormat="1" x14ac:dyDescent="0.25">
      <c r="A99" s="19"/>
      <c r="B99" s="20" t="s">
        <v>290</v>
      </c>
      <c r="C99" s="70" t="s">
        <v>233</v>
      </c>
      <c r="D99" s="70" t="s">
        <v>233</v>
      </c>
      <c r="E99" s="70" t="s">
        <v>233</v>
      </c>
      <c r="F99" s="19"/>
    </row>
    <row r="100" spans="1:6" s="20" customFormat="1" x14ac:dyDescent="0.25">
      <c r="A100" s="19"/>
      <c r="B100" s="20" t="s">
        <v>291</v>
      </c>
      <c r="C100" s="70" t="s">
        <v>234</v>
      </c>
      <c r="D100" s="70" t="s">
        <v>234</v>
      </c>
      <c r="E100" s="70" t="s">
        <v>234</v>
      </c>
      <c r="F100" s="19"/>
    </row>
    <row r="101" spans="1:6" s="20" customFormat="1" x14ac:dyDescent="0.25">
      <c r="A101" s="19"/>
      <c r="B101" s="20" t="s">
        <v>292</v>
      </c>
      <c r="C101" s="70" t="s">
        <v>235</v>
      </c>
      <c r="D101" s="70" t="s">
        <v>235</v>
      </c>
      <c r="E101" s="70" t="s">
        <v>235</v>
      </c>
      <c r="F101" s="19"/>
    </row>
    <row r="102" spans="1:6" s="20" customFormat="1" x14ac:dyDescent="0.25">
      <c r="A102" s="19"/>
      <c r="B102" s="20" t="s">
        <v>614</v>
      </c>
      <c r="C102" s="70" t="s">
        <v>236</v>
      </c>
      <c r="D102" s="70" t="s">
        <v>236</v>
      </c>
      <c r="E102" s="70" t="s">
        <v>236</v>
      </c>
      <c r="F102" s="19"/>
    </row>
    <row r="103" spans="1:6" s="20" customFormat="1" x14ac:dyDescent="0.25">
      <c r="A103" s="19"/>
      <c r="B103" s="20" t="s">
        <v>293</v>
      </c>
      <c r="C103" s="70" t="s">
        <v>237</v>
      </c>
      <c r="D103" s="70" t="s">
        <v>237</v>
      </c>
      <c r="E103" s="70" t="s">
        <v>237</v>
      </c>
      <c r="F103" s="19"/>
    </row>
    <row r="104" spans="1:6" s="20" customFormat="1" x14ac:dyDescent="0.25">
      <c r="A104" s="19"/>
      <c r="B104" s="20" t="s">
        <v>294</v>
      </c>
      <c r="C104" s="70" t="s">
        <v>238</v>
      </c>
      <c r="D104" s="70" t="s">
        <v>238</v>
      </c>
      <c r="E104" s="70" t="s">
        <v>238</v>
      </c>
      <c r="F104" s="19"/>
    </row>
    <row r="105" spans="1:6" s="20" customFormat="1" x14ac:dyDescent="0.25">
      <c r="A105" s="19"/>
      <c r="B105" s="20" t="s">
        <v>295</v>
      </c>
      <c r="C105" s="70" t="s">
        <v>239</v>
      </c>
      <c r="D105" s="70" t="s">
        <v>239</v>
      </c>
      <c r="E105" s="70" t="s">
        <v>239</v>
      </c>
      <c r="F105" s="19"/>
    </row>
    <row r="106" spans="1:6" s="20" customFormat="1" x14ac:dyDescent="0.25">
      <c r="A106" s="19"/>
      <c r="B106" s="20" t="s">
        <v>296</v>
      </c>
      <c r="C106" s="70" t="s">
        <v>240</v>
      </c>
      <c r="D106" s="70" t="s">
        <v>240</v>
      </c>
      <c r="E106" s="70" t="s">
        <v>240</v>
      </c>
      <c r="F106" s="19"/>
    </row>
    <row r="107" spans="1:6" s="20" customFormat="1" x14ac:dyDescent="0.25">
      <c r="A107" s="19"/>
      <c r="B107" s="20" t="s">
        <v>297</v>
      </c>
      <c r="C107" s="70" t="s">
        <v>241</v>
      </c>
      <c r="D107" s="70" t="s">
        <v>241</v>
      </c>
      <c r="E107" s="70" t="s">
        <v>241</v>
      </c>
      <c r="F107" s="19"/>
    </row>
    <row r="108" spans="1:6" s="20" customFormat="1" x14ac:dyDescent="0.25">
      <c r="A108" s="19"/>
      <c r="B108" s="20" t="s">
        <v>298</v>
      </c>
      <c r="C108" s="70" t="s">
        <v>242</v>
      </c>
      <c r="D108" s="70" t="s">
        <v>242</v>
      </c>
      <c r="E108" s="70" t="s">
        <v>242</v>
      </c>
      <c r="F108" s="19"/>
    </row>
    <row r="109" spans="1:6" s="20" customFormat="1" x14ac:dyDescent="0.25">
      <c r="A109" s="19"/>
      <c r="B109" s="20" t="s">
        <v>299</v>
      </c>
      <c r="C109" s="70" t="s">
        <v>243</v>
      </c>
      <c r="D109" s="70" t="s">
        <v>243</v>
      </c>
      <c r="E109" s="70" t="s">
        <v>243</v>
      </c>
      <c r="F109" s="19"/>
    </row>
    <row r="110" spans="1:6" s="20" customFormat="1" x14ac:dyDescent="0.25">
      <c r="A110" s="19"/>
      <c r="B110" s="20" t="s">
        <v>300</v>
      </c>
      <c r="C110" s="70" t="s">
        <v>244</v>
      </c>
      <c r="D110" s="70" t="s">
        <v>244</v>
      </c>
      <c r="E110" s="70" t="s">
        <v>244</v>
      </c>
      <c r="F110" s="19"/>
    </row>
    <row r="111" spans="1:6" s="20" customFormat="1" x14ac:dyDescent="0.25">
      <c r="A111" s="19"/>
      <c r="B111" s="20" t="s">
        <v>301</v>
      </c>
      <c r="C111" s="70" t="s">
        <v>245</v>
      </c>
      <c r="D111" s="70" t="s">
        <v>245</v>
      </c>
      <c r="E111" s="70" t="s">
        <v>245</v>
      </c>
      <c r="F111" s="19"/>
    </row>
    <row r="112" spans="1:6" s="20" customFormat="1" x14ac:dyDescent="0.25">
      <c r="A112" s="19"/>
      <c r="B112" s="20" t="s">
        <v>302</v>
      </c>
      <c r="C112" s="70" t="s">
        <v>246</v>
      </c>
      <c r="D112" s="70" t="s">
        <v>246</v>
      </c>
      <c r="E112" s="70" t="s">
        <v>246</v>
      </c>
      <c r="F112" s="19"/>
    </row>
    <row r="113" spans="1:6" s="20" customFormat="1" x14ac:dyDescent="0.25">
      <c r="A113" s="19"/>
      <c r="B113" s="20" t="s">
        <v>303</v>
      </c>
      <c r="C113" s="70" t="s">
        <v>247</v>
      </c>
      <c r="D113" s="70" t="s">
        <v>247</v>
      </c>
      <c r="E113" s="70" t="s">
        <v>247</v>
      </c>
      <c r="F113" s="19"/>
    </row>
    <row r="114" spans="1:6" s="20" customFormat="1" x14ac:dyDescent="0.25">
      <c r="A114" s="19"/>
      <c r="B114" s="20" t="s">
        <v>304</v>
      </c>
      <c r="C114" s="70" t="s">
        <v>248</v>
      </c>
      <c r="D114" s="70" t="s">
        <v>248</v>
      </c>
      <c r="E114" s="70" t="s">
        <v>248</v>
      </c>
      <c r="F114" s="19"/>
    </row>
    <row r="115" spans="1:6" s="20" customFormat="1" x14ac:dyDescent="0.25">
      <c r="A115" s="19"/>
      <c r="B115" s="20" t="s">
        <v>305</v>
      </c>
      <c r="C115" s="70" t="s">
        <v>249</v>
      </c>
      <c r="D115" s="70" t="s">
        <v>249</v>
      </c>
      <c r="E115" s="70" t="s">
        <v>249</v>
      </c>
      <c r="F115" s="19"/>
    </row>
    <row r="116" spans="1:6" s="20" customFormat="1" x14ac:dyDescent="0.25">
      <c r="A116" s="19"/>
      <c r="B116" s="20" t="s">
        <v>306</v>
      </c>
      <c r="C116" s="70" t="s">
        <v>250</v>
      </c>
      <c r="D116" s="70" t="s">
        <v>250</v>
      </c>
      <c r="E116" s="70" t="s">
        <v>250</v>
      </c>
      <c r="F116" s="19"/>
    </row>
    <row r="117" spans="1:6" s="20" customFormat="1" x14ac:dyDescent="0.25">
      <c r="A117" s="19"/>
      <c r="B117" s="20" t="s">
        <v>307</v>
      </c>
      <c r="C117" s="70" t="s">
        <v>251</v>
      </c>
      <c r="D117" s="70" t="s">
        <v>251</v>
      </c>
      <c r="E117" s="70" t="s">
        <v>251</v>
      </c>
      <c r="F117" s="19"/>
    </row>
    <row r="118" spans="1:6" s="20" customFormat="1" x14ac:dyDescent="0.25">
      <c r="A118" s="19"/>
      <c r="B118" s="20" t="s">
        <v>308</v>
      </c>
      <c r="C118" s="70" t="s">
        <v>252</v>
      </c>
      <c r="D118" s="70" t="s">
        <v>252</v>
      </c>
      <c r="E118" s="70" t="s">
        <v>252</v>
      </c>
      <c r="F118" s="19"/>
    </row>
    <row r="119" spans="1:6" s="20" customFormat="1" x14ac:dyDescent="0.25">
      <c r="A119" s="19"/>
      <c r="B119" s="20" t="s">
        <v>309</v>
      </c>
      <c r="C119" s="70" t="s">
        <v>253</v>
      </c>
      <c r="D119" s="70" t="s">
        <v>253</v>
      </c>
      <c r="E119" s="70" t="s">
        <v>253</v>
      </c>
      <c r="F119" s="19"/>
    </row>
    <row r="120" spans="1:6" s="20" customFormat="1" x14ac:dyDescent="0.25">
      <c r="A120" s="19"/>
      <c r="B120" s="20" t="s">
        <v>310</v>
      </c>
      <c r="C120" s="70" t="s">
        <v>254</v>
      </c>
      <c r="D120" s="70" t="s">
        <v>254</v>
      </c>
      <c r="E120" s="70" t="s">
        <v>254</v>
      </c>
      <c r="F120" s="19"/>
    </row>
    <row r="121" spans="1:6" s="20" customFormat="1" x14ac:dyDescent="0.25">
      <c r="A121" s="19"/>
      <c r="B121" s="20" t="s">
        <v>311</v>
      </c>
      <c r="C121" s="70" t="s">
        <v>255</v>
      </c>
      <c r="D121" s="70" t="s">
        <v>255</v>
      </c>
      <c r="E121" s="70" t="s">
        <v>255</v>
      </c>
      <c r="F121" s="19"/>
    </row>
    <row r="122" spans="1:6" s="20" customFormat="1" x14ac:dyDescent="0.25">
      <c r="A122" s="19"/>
      <c r="B122" s="20" t="s">
        <v>312</v>
      </c>
      <c r="C122" s="70" t="s">
        <v>256</v>
      </c>
      <c r="D122" s="70" t="s">
        <v>256</v>
      </c>
      <c r="E122" s="70" t="s">
        <v>256</v>
      </c>
      <c r="F122" s="19"/>
    </row>
    <row r="123" spans="1:6" s="20" customFormat="1" x14ac:dyDescent="0.25">
      <c r="A123" s="19"/>
      <c r="B123" s="20" t="s">
        <v>313</v>
      </c>
      <c r="C123" s="70" t="s">
        <v>257</v>
      </c>
      <c r="D123" s="70" t="s">
        <v>257</v>
      </c>
      <c r="E123" s="70" t="s">
        <v>257</v>
      </c>
      <c r="F123" s="19"/>
    </row>
    <row r="124" spans="1:6" s="20" customFormat="1" x14ac:dyDescent="0.25">
      <c r="A124" s="69"/>
      <c r="B124" s="19"/>
      <c r="C124" s="71"/>
      <c r="D124" s="71"/>
      <c r="E124" s="71"/>
      <c r="F124" s="19"/>
    </row>
    <row r="125" spans="1:6" s="20" customFormat="1" ht="12.75" customHeight="1" x14ac:dyDescent="0.25">
      <c r="A125" s="69" t="s">
        <v>10</v>
      </c>
      <c r="B125" s="20" t="s">
        <v>85</v>
      </c>
      <c r="C125" s="70" t="s">
        <v>320</v>
      </c>
      <c r="D125" s="20" t="s">
        <v>675</v>
      </c>
      <c r="E125" s="70" t="s">
        <v>609</v>
      </c>
      <c r="F125" s="19"/>
    </row>
    <row r="126" spans="1:6" s="20" customFormat="1" x14ac:dyDescent="0.25">
      <c r="A126" s="19"/>
      <c r="B126" s="20" t="s">
        <v>86</v>
      </c>
      <c r="C126" s="70" t="s">
        <v>321</v>
      </c>
      <c r="D126" s="20" t="s">
        <v>321</v>
      </c>
      <c r="E126" s="20" t="s">
        <v>435</v>
      </c>
      <c r="F126" s="19"/>
    </row>
    <row r="127" spans="1:6" s="20" customFormat="1" ht="25.5" x14ac:dyDescent="0.25">
      <c r="A127" s="19"/>
      <c r="B127" s="20" t="s">
        <v>87</v>
      </c>
      <c r="C127" s="70" t="s">
        <v>322</v>
      </c>
      <c r="D127" s="20" t="s">
        <v>430</v>
      </c>
      <c r="E127" s="70" t="s">
        <v>514</v>
      </c>
      <c r="F127" s="19"/>
    </row>
    <row r="128" spans="1:6" s="20" customFormat="1" ht="25.5" x14ac:dyDescent="0.25">
      <c r="A128" s="19"/>
      <c r="B128" s="20" t="s">
        <v>88</v>
      </c>
      <c r="C128" s="70" t="s">
        <v>323</v>
      </c>
      <c r="D128" s="20" t="s">
        <v>431</v>
      </c>
      <c r="E128" s="70" t="s">
        <v>515</v>
      </c>
      <c r="F128" s="19"/>
    </row>
    <row r="129" spans="1:6" s="20" customFormat="1" ht="25.5" x14ac:dyDescent="0.25">
      <c r="A129" s="19"/>
      <c r="B129" s="20" t="s">
        <v>89</v>
      </c>
      <c r="C129" s="70" t="s">
        <v>324</v>
      </c>
      <c r="D129" s="20" t="s">
        <v>432</v>
      </c>
      <c r="E129" s="70" t="s">
        <v>516</v>
      </c>
      <c r="F129" s="19"/>
    </row>
    <row r="130" spans="1:6" s="20" customFormat="1" ht="38.25" x14ac:dyDescent="0.25">
      <c r="A130" s="19"/>
      <c r="B130" s="20" t="s">
        <v>90</v>
      </c>
      <c r="C130" s="70" t="s">
        <v>325</v>
      </c>
      <c r="D130" s="20" t="s">
        <v>433</v>
      </c>
      <c r="E130" s="70" t="s">
        <v>517</v>
      </c>
      <c r="F130" s="19"/>
    </row>
    <row r="131" spans="1:6" s="20" customFormat="1" ht="12.75" customHeight="1" x14ac:dyDescent="0.25">
      <c r="A131" s="19"/>
      <c r="B131" s="20" t="s">
        <v>91</v>
      </c>
      <c r="C131" s="70" t="s">
        <v>326</v>
      </c>
      <c r="D131" s="20" t="s">
        <v>434</v>
      </c>
      <c r="E131" s="70" t="s">
        <v>518</v>
      </c>
      <c r="F131" s="19"/>
    </row>
    <row r="132" spans="1:6" s="20" customFormat="1" x14ac:dyDescent="0.25">
      <c r="A132" s="19"/>
      <c r="B132" s="20" t="s">
        <v>92</v>
      </c>
      <c r="C132" s="70" t="s">
        <v>327</v>
      </c>
      <c r="D132" s="20" t="s">
        <v>676</v>
      </c>
      <c r="E132" s="70" t="s">
        <v>519</v>
      </c>
      <c r="F132" s="19"/>
    </row>
    <row r="133" spans="1:6" s="20" customFormat="1" x14ac:dyDescent="0.25">
      <c r="A133" s="19"/>
      <c r="B133" s="20" t="s">
        <v>93</v>
      </c>
      <c r="C133" s="70" t="s">
        <v>328</v>
      </c>
      <c r="D133" s="20" t="s">
        <v>677</v>
      </c>
      <c r="E133" s="70" t="s">
        <v>520</v>
      </c>
      <c r="F133" s="19"/>
    </row>
    <row r="134" spans="1:6" s="20" customFormat="1" x14ac:dyDescent="0.25">
      <c r="A134" s="19"/>
      <c r="B134" s="20" t="s">
        <v>94</v>
      </c>
      <c r="C134" s="70" t="s">
        <v>329</v>
      </c>
      <c r="D134" s="20" t="s">
        <v>329</v>
      </c>
      <c r="E134" s="70" t="s">
        <v>521</v>
      </c>
      <c r="F134" s="19"/>
    </row>
    <row r="135" spans="1:6" s="20" customFormat="1" x14ac:dyDescent="0.25">
      <c r="A135" s="19"/>
      <c r="B135" s="20" t="s">
        <v>95</v>
      </c>
      <c r="C135" s="70" t="s">
        <v>330</v>
      </c>
      <c r="D135" s="20" t="s">
        <v>437</v>
      </c>
      <c r="E135" s="70" t="s">
        <v>522</v>
      </c>
      <c r="F135" s="19"/>
    </row>
    <row r="136" spans="1:6" s="20" customFormat="1" ht="25.5" x14ac:dyDescent="0.25">
      <c r="A136" s="19"/>
      <c r="B136" s="20" t="s">
        <v>96</v>
      </c>
      <c r="C136" s="70" t="s">
        <v>331</v>
      </c>
      <c r="D136" s="20" t="s">
        <v>438</v>
      </c>
      <c r="E136" s="70" t="s">
        <v>523</v>
      </c>
      <c r="F136" s="19"/>
    </row>
    <row r="137" spans="1:6" s="20" customFormat="1" x14ac:dyDescent="0.25">
      <c r="A137" s="19"/>
      <c r="B137" s="20" t="s">
        <v>97</v>
      </c>
      <c r="C137" s="70" t="s">
        <v>332</v>
      </c>
      <c r="D137" s="20" t="s">
        <v>439</v>
      </c>
      <c r="E137" s="70" t="s">
        <v>524</v>
      </c>
      <c r="F137" s="19"/>
    </row>
    <row r="138" spans="1:6" s="20" customFormat="1" x14ac:dyDescent="0.25">
      <c r="A138" s="19"/>
      <c r="B138" s="20" t="s">
        <v>98</v>
      </c>
      <c r="C138" s="70" t="s">
        <v>333</v>
      </c>
      <c r="D138" s="20" t="s">
        <v>678</v>
      </c>
      <c r="E138" s="70" t="s">
        <v>525</v>
      </c>
      <c r="F138" s="19"/>
    </row>
    <row r="139" spans="1:6" s="20" customFormat="1" x14ac:dyDescent="0.25">
      <c r="A139" s="19"/>
      <c r="B139" s="20" t="s">
        <v>99</v>
      </c>
      <c r="C139" s="70" t="s">
        <v>334</v>
      </c>
      <c r="D139" s="20" t="s">
        <v>679</v>
      </c>
      <c r="E139" s="70" t="s">
        <v>436</v>
      </c>
      <c r="F139" s="19"/>
    </row>
    <row r="140" spans="1:6" s="20" customFormat="1" x14ac:dyDescent="0.25">
      <c r="A140" s="19"/>
      <c r="B140" s="20" t="s">
        <v>100</v>
      </c>
      <c r="C140" s="70" t="s">
        <v>335</v>
      </c>
      <c r="D140" s="20" t="s">
        <v>680</v>
      </c>
      <c r="E140" s="70" t="s">
        <v>526</v>
      </c>
      <c r="F140" s="19"/>
    </row>
    <row r="141" spans="1:6" s="20" customFormat="1" x14ac:dyDescent="0.25">
      <c r="A141" s="19"/>
      <c r="B141" s="20" t="s">
        <v>101</v>
      </c>
      <c r="C141" s="70" t="s">
        <v>336</v>
      </c>
      <c r="D141" s="20" t="s">
        <v>681</v>
      </c>
      <c r="E141" s="70" t="s">
        <v>527</v>
      </c>
      <c r="F141" s="19"/>
    </row>
    <row r="142" spans="1:6" s="20" customFormat="1" x14ac:dyDescent="0.25">
      <c r="A142" s="19"/>
      <c r="B142" s="20" t="s">
        <v>102</v>
      </c>
      <c r="C142" s="70" t="s">
        <v>337</v>
      </c>
      <c r="D142" s="20" t="s">
        <v>682</v>
      </c>
      <c r="E142" s="70" t="s">
        <v>528</v>
      </c>
      <c r="F142" s="19"/>
    </row>
    <row r="143" spans="1:6" s="20" customFormat="1" x14ac:dyDescent="0.25">
      <c r="A143" s="19"/>
      <c r="B143" s="20" t="s">
        <v>103</v>
      </c>
      <c r="C143" s="70" t="s">
        <v>338</v>
      </c>
      <c r="D143" s="20" t="s">
        <v>683</v>
      </c>
      <c r="E143" s="70" t="s">
        <v>529</v>
      </c>
      <c r="F143" s="19"/>
    </row>
    <row r="144" spans="1:6" s="20" customFormat="1" ht="25.5" x14ac:dyDescent="0.25">
      <c r="A144" s="19"/>
      <c r="B144" s="20" t="s">
        <v>104</v>
      </c>
      <c r="C144" s="70" t="s">
        <v>339</v>
      </c>
      <c r="D144" s="20" t="s">
        <v>684</v>
      </c>
      <c r="E144" s="70" t="s">
        <v>530</v>
      </c>
      <c r="F144" s="19"/>
    </row>
    <row r="145" spans="1:6" s="20" customFormat="1" x14ac:dyDescent="0.25">
      <c r="A145" s="19"/>
      <c r="B145" s="20" t="s">
        <v>105</v>
      </c>
      <c r="C145" s="70" t="s">
        <v>340</v>
      </c>
      <c r="D145" s="20" t="s">
        <v>685</v>
      </c>
      <c r="E145" s="70" t="s">
        <v>531</v>
      </c>
      <c r="F145" s="19"/>
    </row>
    <row r="146" spans="1:6" s="20" customFormat="1" ht="25.5" x14ac:dyDescent="0.25">
      <c r="A146" s="19"/>
      <c r="B146" s="20" t="s">
        <v>106</v>
      </c>
      <c r="C146" s="70" t="s">
        <v>341</v>
      </c>
      <c r="D146" s="20" t="s">
        <v>444</v>
      </c>
      <c r="E146" s="70" t="s">
        <v>532</v>
      </c>
      <c r="F146" s="19"/>
    </row>
    <row r="147" spans="1:6" s="20" customFormat="1" x14ac:dyDescent="0.25">
      <c r="A147" s="19"/>
      <c r="B147" s="20" t="s">
        <v>107</v>
      </c>
      <c r="C147" s="70" t="s">
        <v>342</v>
      </c>
      <c r="D147" s="20" t="s">
        <v>445</v>
      </c>
      <c r="E147" s="70" t="s">
        <v>533</v>
      </c>
      <c r="F147" s="19"/>
    </row>
    <row r="148" spans="1:6" s="20" customFormat="1" x14ac:dyDescent="0.25">
      <c r="A148" s="19"/>
      <c r="B148" s="20" t="s">
        <v>108</v>
      </c>
      <c r="C148" s="70" t="s">
        <v>343</v>
      </c>
      <c r="D148" s="20" t="s">
        <v>686</v>
      </c>
      <c r="E148" s="70" t="s">
        <v>440</v>
      </c>
      <c r="F148" s="19"/>
    </row>
    <row r="149" spans="1:6" s="20" customFormat="1" x14ac:dyDescent="0.25">
      <c r="A149" s="19"/>
      <c r="B149" s="20" t="s">
        <v>109</v>
      </c>
      <c r="C149" s="70" t="s">
        <v>344</v>
      </c>
      <c r="D149" s="20" t="s">
        <v>687</v>
      </c>
      <c r="E149" s="70" t="s">
        <v>534</v>
      </c>
      <c r="F149" s="19"/>
    </row>
    <row r="150" spans="1:6" s="20" customFormat="1" x14ac:dyDescent="0.25">
      <c r="A150" s="19"/>
      <c r="B150" s="20" t="s">
        <v>110</v>
      </c>
      <c r="C150" s="70" t="s">
        <v>345</v>
      </c>
      <c r="D150" s="20" t="s">
        <v>688</v>
      </c>
      <c r="E150" s="70" t="s">
        <v>441</v>
      </c>
      <c r="F150" s="19"/>
    </row>
    <row r="151" spans="1:6" s="20" customFormat="1" ht="25.5" x14ac:dyDescent="0.25">
      <c r="A151" s="19"/>
      <c r="B151" s="20" t="s">
        <v>111</v>
      </c>
      <c r="C151" s="70" t="s">
        <v>346</v>
      </c>
      <c r="D151" s="20" t="s">
        <v>446</v>
      </c>
      <c r="E151" s="70" t="s">
        <v>535</v>
      </c>
      <c r="F151" s="19"/>
    </row>
    <row r="152" spans="1:6" s="20" customFormat="1" x14ac:dyDescent="0.25">
      <c r="A152" s="69" t="s">
        <v>10</v>
      </c>
      <c r="B152" s="20" t="s">
        <v>112</v>
      </c>
      <c r="C152" s="70" t="s">
        <v>347</v>
      </c>
      <c r="D152" s="20" t="s">
        <v>689</v>
      </c>
      <c r="E152" s="70" t="s">
        <v>442</v>
      </c>
      <c r="F152" s="19"/>
    </row>
    <row r="153" spans="1:6" s="20" customFormat="1" x14ac:dyDescent="0.25">
      <c r="A153" s="19"/>
      <c r="B153" s="20" t="s">
        <v>113</v>
      </c>
      <c r="C153" s="70" t="s">
        <v>348</v>
      </c>
      <c r="D153" s="20" t="s">
        <v>690</v>
      </c>
      <c r="E153" s="70" t="s">
        <v>536</v>
      </c>
      <c r="F153" s="19"/>
    </row>
    <row r="154" spans="1:6" s="20" customFormat="1" ht="25.5" x14ac:dyDescent="0.25">
      <c r="A154" s="19"/>
      <c r="B154" s="20" t="s">
        <v>115</v>
      </c>
      <c r="C154" s="70" t="s">
        <v>349</v>
      </c>
      <c r="D154" s="20" t="s">
        <v>447</v>
      </c>
      <c r="E154" s="70" t="s">
        <v>537</v>
      </c>
      <c r="F154" s="19"/>
    </row>
    <row r="155" spans="1:6" s="20" customFormat="1" x14ac:dyDescent="0.25">
      <c r="A155" s="19"/>
      <c r="B155" s="20" t="s">
        <v>116</v>
      </c>
      <c r="C155" s="70" t="s">
        <v>350</v>
      </c>
      <c r="D155" s="20" t="s">
        <v>691</v>
      </c>
      <c r="E155" s="70" t="s">
        <v>443</v>
      </c>
      <c r="F155" s="19"/>
    </row>
    <row r="156" spans="1:6" s="20" customFormat="1" x14ac:dyDescent="0.25">
      <c r="A156" s="19"/>
      <c r="B156" s="20" t="s">
        <v>117</v>
      </c>
      <c r="C156" s="70" t="s">
        <v>351</v>
      </c>
      <c r="D156" s="20" t="s">
        <v>692</v>
      </c>
      <c r="E156" s="70" t="s">
        <v>538</v>
      </c>
      <c r="F156" s="19"/>
    </row>
    <row r="157" spans="1:6" s="20" customFormat="1" x14ac:dyDescent="0.25">
      <c r="A157" s="19"/>
      <c r="B157" s="20" t="s">
        <v>118</v>
      </c>
      <c r="C157" s="70" t="s">
        <v>352</v>
      </c>
      <c r="D157" s="20" t="s">
        <v>448</v>
      </c>
      <c r="E157" s="70" t="s">
        <v>539</v>
      </c>
      <c r="F157" s="19"/>
    </row>
    <row r="158" spans="1:6" s="20" customFormat="1" x14ac:dyDescent="0.25">
      <c r="A158" s="19"/>
      <c r="B158" s="20" t="s">
        <v>119</v>
      </c>
      <c r="C158" s="70" t="s">
        <v>353</v>
      </c>
      <c r="D158" s="20" t="s">
        <v>449</v>
      </c>
      <c r="E158" s="70" t="s">
        <v>540</v>
      </c>
      <c r="F158" s="19"/>
    </row>
    <row r="159" spans="1:6" s="20" customFormat="1" x14ac:dyDescent="0.25">
      <c r="A159" s="19"/>
      <c r="B159" s="20" t="s">
        <v>120</v>
      </c>
      <c r="C159" s="70" t="s">
        <v>354</v>
      </c>
      <c r="D159" s="20" t="s">
        <v>693</v>
      </c>
      <c r="E159" s="70" t="s">
        <v>541</v>
      </c>
      <c r="F159" s="19"/>
    </row>
    <row r="160" spans="1:6" s="20" customFormat="1" x14ac:dyDescent="0.25">
      <c r="A160" s="19"/>
      <c r="B160" s="20" t="s">
        <v>121</v>
      </c>
      <c r="C160" s="70" t="s">
        <v>355</v>
      </c>
      <c r="D160" s="20" t="s">
        <v>450</v>
      </c>
      <c r="E160" s="70" t="s">
        <v>542</v>
      </c>
      <c r="F160" s="19"/>
    </row>
    <row r="161" spans="1:6" s="20" customFormat="1" ht="25.5" x14ac:dyDescent="0.25">
      <c r="A161" s="19"/>
      <c r="B161" s="20" t="s">
        <v>122</v>
      </c>
      <c r="C161" s="70" t="s">
        <v>356</v>
      </c>
      <c r="D161" s="20" t="s">
        <v>694</v>
      </c>
      <c r="E161" s="70" t="s">
        <v>543</v>
      </c>
      <c r="F161" s="19"/>
    </row>
    <row r="162" spans="1:6" s="20" customFormat="1" ht="25.5" x14ac:dyDescent="0.25">
      <c r="A162" s="19"/>
      <c r="B162" s="20" t="s">
        <v>123</v>
      </c>
      <c r="C162" s="70" t="s">
        <v>357</v>
      </c>
      <c r="D162" s="20" t="s">
        <v>451</v>
      </c>
      <c r="E162" s="70" t="s">
        <v>544</v>
      </c>
      <c r="F162" s="19"/>
    </row>
    <row r="163" spans="1:6" s="20" customFormat="1" x14ac:dyDescent="0.25">
      <c r="A163" s="19"/>
      <c r="B163" s="20" t="s">
        <v>124</v>
      </c>
      <c r="C163" s="70" t="s">
        <v>358</v>
      </c>
      <c r="D163" s="20" t="s">
        <v>452</v>
      </c>
      <c r="E163" s="70" t="s">
        <v>545</v>
      </c>
      <c r="F163" s="19"/>
    </row>
    <row r="164" spans="1:6" s="20" customFormat="1" ht="51" x14ac:dyDescent="0.25">
      <c r="A164" s="19"/>
      <c r="B164" s="20" t="s">
        <v>125</v>
      </c>
      <c r="C164" s="70" t="s">
        <v>359</v>
      </c>
      <c r="D164" s="20" t="s">
        <v>453</v>
      </c>
      <c r="E164" s="70" t="s">
        <v>546</v>
      </c>
      <c r="F164" s="19"/>
    </row>
    <row r="165" spans="1:6" s="20" customFormat="1" ht="25.5" x14ac:dyDescent="0.25">
      <c r="A165" s="19"/>
      <c r="B165" s="20" t="s">
        <v>126</v>
      </c>
      <c r="C165" s="70" t="s">
        <v>360</v>
      </c>
      <c r="D165" s="20" t="s">
        <v>695</v>
      </c>
      <c r="E165" s="70" t="s">
        <v>547</v>
      </c>
      <c r="F165" s="19"/>
    </row>
    <row r="166" spans="1:6" s="20" customFormat="1" ht="25.5" x14ac:dyDescent="0.25">
      <c r="A166" s="19"/>
      <c r="B166" s="20" t="s">
        <v>127</v>
      </c>
      <c r="C166" s="70" t="s">
        <v>361</v>
      </c>
      <c r="D166" s="20" t="s">
        <v>696</v>
      </c>
      <c r="E166" s="70" t="s">
        <v>548</v>
      </c>
      <c r="F166" s="19"/>
    </row>
    <row r="167" spans="1:6" s="20" customFormat="1" ht="38.25" x14ac:dyDescent="0.25">
      <c r="A167" s="19"/>
      <c r="B167" s="20" t="s">
        <v>128</v>
      </c>
      <c r="C167" s="70" t="s">
        <v>362</v>
      </c>
      <c r="D167" s="20" t="s">
        <v>455</v>
      </c>
      <c r="E167" s="70" t="s">
        <v>549</v>
      </c>
      <c r="F167" s="19"/>
    </row>
    <row r="168" spans="1:6" s="20" customFormat="1" ht="25.5" x14ac:dyDescent="0.25">
      <c r="A168" s="19"/>
      <c r="B168" s="20" t="s">
        <v>129</v>
      </c>
      <c r="C168" s="70" t="s">
        <v>363</v>
      </c>
      <c r="D168" s="20" t="s">
        <v>456</v>
      </c>
      <c r="E168" s="70" t="s">
        <v>550</v>
      </c>
      <c r="F168" s="19"/>
    </row>
    <row r="169" spans="1:6" s="20" customFormat="1" ht="25.5" x14ac:dyDescent="0.25">
      <c r="A169" s="19"/>
      <c r="B169" s="20" t="s">
        <v>130</v>
      </c>
      <c r="C169" s="70" t="s">
        <v>364</v>
      </c>
      <c r="D169" s="20" t="s">
        <v>457</v>
      </c>
      <c r="E169" s="70" t="s">
        <v>551</v>
      </c>
      <c r="F169" s="19"/>
    </row>
    <row r="170" spans="1:6" s="20" customFormat="1" x14ac:dyDescent="0.25">
      <c r="A170" s="19"/>
      <c r="B170" s="20" t="s">
        <v>131</v>
      </c>
      <c r="C170" s="70" t="s">
        <v>365</v>
      </c>
      <c r="D170" s="20" t="s">
        <v>458</v>
      </c>
      <c r="E170" s="20" t="s">
        <v>552</v>
      </c>
      <c r="F170" s="19"/>
    </row>
    <row r="171" spans="1:6" s="20" customFormat="1" ht="25.5" x14ac:dyDescent="0.25">
      <c r="A171" s="19"/>
      <c r="B171" s="20" t="s">
        <v>132</v>
      </c>
      <c r="C171" s="70" t="s">
        <v>366</v>
      </c>
      <c r="D171" s="20" t="s">
        <v>459</v>
      </c>
      <c r="E171" s="70" t="s">
        <v>553</v>
      </c>
      <c r="F171" s="19"/>
    </row>
    <row r="172" spans="1:6" s="20" customFormat="1" ht="38.25" x14ac:dyDescent="0.25">
      <c r="A172" s="19"/>
      <c r="B172" s="20" t="s">
        <v>133</v>
      </c>
      <c r="C172" s="70" t="s">
        <v>367</v>
      </c>
      <c r="D172" s="20" t="s">
        <v>697</v>
      </c>
      <c r="E172" s="70" t="s">
        <v>554</v>
      </c>
      <c r="F172" s="19"/>
    </row>
    <row r="173" spans="1:6" s="20" customFormat="1" ht="38.25" x14ac:dyDescent="0.25">
      <c r="A173" s="19"/>
      <c r="B173" s="20" t="s">
        <v>135</v>
      </c>
      <c r="C173" s="70" t="s">
        <v>368</v>
      </c>
      <c r="D173" s="20" t="s">
        <v>460</v>
      </c>
      <c r="E173" s="70" t="s">
        <v>555</v>
      </c>
      <c r="F173" s="19"/>
    </row>
    <row r="174" spans="1:6" s="20" customFormat="1" ht="38.25" x14ac:dyDescent="0.25">
      <c r="A174" s="19"/>
      <c r="B174" s="20" t="s">
        <v>136</v>
      </c>
      <c r="C174" s="70" t="s">
        <v>369</v>
      </c>
      <c r="D174" s="20" t="s">
        <v>698</v>
      </c>
      <c r="E174" s="70" t="s">
        <v>556</v>
      </c>
      <c r="F174" s="19"/>
    </row>
    <row r="175" spans="1:6" s="20" customFormat="1" ht="25.5" x14ac:dyDescent="0.25">
      <c r="A175" s="19"/>
      <c r="B175" s="20" t="s">
        <v>137</v>
      </c>
      <c r="C175" s="70" t="s">
        <v>370</v>
      </c>
      <c r="D175" s="20" t="s">
        <v>461</v>
      </c>
      <c r="E175" s="70" t="s">
        <v>557</v>
      </c>
      <c r="F175" s="19"/>
    </row>
    <row r="176" spans="1:6" s="20" customFormat="1" ht="25.5" x14ac:dyDescent="0.25">
      <c r="A176" s="19"/>
      <c r="B176" s="20" t="s">
        <v>138</v>
      </c>
      <c r="C176" s="70" t="s">
        <v>371</v>
      </c>
      <c r="D176" s="20" t="s">
        <v>462</v>
      </c>
      <c r="E176" s="70" t="s">
        <v>558</v>
      </c>
      <c r="F176" s="19"/>
    </row>
    <row r="177" spans="1:6" s="20" customFormat="1" x14ac:dyDescent="0.25">
      <c r="A177" s="19"/>
      <c r="B177" s="20" t="s">
        <v>139</v>
      </c>
      <c r="C177" s="70" t="s">
        <v>372</v>
      </c>
      <c r="D177" s="20" t="s">
        <v>463</v>
      </c>
      <c r="E177" s="70" t="s">
        <v>454</v>
      </c>
      <c r="F177" s="19"/>
    </row>
    <row r="178" spans="1:6" s="20" customFormat="1" ht="25.5" x14ac:dyDescent="0.25">
      <c r="A178" s="19"/>
      <c r="B178" s="20" t="s">
        <v>140</v>
      </c>
      <c r="C178" s="70" t="s">
        <v>373</v>
      </c>
      <c r="D178" s="20" t="s">
        <v>464</v>
      </c>
      <c r="E178" s="70" t="s">
        <v>559</v>
      </c>
      <c r="F178" s="19"/>
    </row>
    <row r="179" spans="1:6" s="20" customFormat="1" x14ac:dyDescent="0.25">
      <c r="A179" s="19"/>
      <c r="B179" s="20" t="s">
        <v>615</v>
      </c>
      <c r="C179" s="70" t="s">
        <v>374</v>
      </c>
      <c r="D179" s="20" t="s">
        <v>699</v>
      </c>
      <c r="E179" s="70" t="s">
        <v>560</v>
      </c>
      <c r="F179" s="19"/>
    </row>
    <row r="180" spans="1:6" s="20" customFormat="1" x14ac:dyDescent="0.25">
      <c r="A180" s="19"/>
      <c r="B180" s="20" t="s">
        <v>616</v>
      </c>
      <c r="C180" s="70" t="s">
        <v>375</v>
      </c>
      <c r="D180" s="20" t="s">
        <v>700</v>
      </c>
      <c r="E180" s="70" t="s">
        <v>471</v>
      </c>
      <c r="F180" s="19"/>
    </row>
    <row r="181" spans="1:6" s="20" customFormat="1" ht="25.5" x14ac:dyDescent="0.25">
      <c r="A181" s="19"/>
      <c r="B181" s="20" t="s">
        <v>617</v>
      </c>
      <c r="C181" s="70" t="s">
        <v>376</v>
      </c>
      <c r="D181" s="20" t="s">
        <v>701</v>
      </c>
      <c r="E181" s="70" t="s">
        <v>561</v>
      </c>
      <c r="F181" s="19"/>
    </row>
    <row r="182" spans="1:6" s="20" customFormat="1" ht="25.5" x14ac:dyDescent="0.25">
      <c r="A182" s="19"/>
      <c r="B182" s="20" t="s">
        <v>618</v>
      </c>
      <c r="C182" s="70" t="s">
        <v>377</v>
      </c>
      <c r="D182" s="20" t="s">
        <v>702</v>
      </c>
      <c r="E182" s="70" t="s">
        <v>562</v>
      </c>
      <c r="F182" s="19"/>
    </row>
    <row r="183" spans="1:6" s="20" customFormat="1" ht="25.5" x14ac:dyDescent="0.25">
      <c r="A183" s="19"/>
      <c r="B183" s="20" t="s">
        <v>619</v>
      </c>
      <c r="C183" s="70" t="s">
        <v>378</v>
      </c>
      <c r="D183" s="20" t="s">
        <v>465</v>
      </c>
      <c r="E183" s="70" t="s">
        <v>472</v>
      </c>
      <c r="F183" s="19"/>
    </row>
    <row r="184" spans="1:6" s="20" customFormat="1" x14ac:dyDescent="0.25">
      <c r="A184" s="19"/>
      <c r="B184" s="20" t="s">
        <v>620</v>
      </c>
      <c r="C184" s="70" t="s">
        <v>379</v>
      </c>
      <c r="D184" s="20" t="s">
        <v>703</v>
      </c>
      <c r="E184" s="70" t="s">
        <v>114</v>
      </c>
      <c r="F184" s="19"/>
    </row>
    <row r="185" spans="1:6" s="20" customFormat="1" x14ac:dyDescent="0.25">
      <c r="A185" s="19"/>
      <c r="B185" s="20" t="s">
        <v>621</v>
      </c>
      <c r="C185" s="70" t="s">
        <v>380</v>
      </c>
      <c r="D185" s="20" t="s">
        <v>704</v>
      </c>
      <c r="E185" s="70" t="s">
        <v>563</v>
      </c>
      <c r="F185" s="19"/>
    </row>
    <row r="186" spans="1:6" s="20" customFormat="1" ht="25.5" x14ac:dyDescent="0.25">
      <c r="A186" s="19"/>
      <c r="B186" s="20" t="s">
        <v>622</v>
      </c>
      <c r="C186" s="70" t="s">
        <v>381</v>
      </c>
      <c r="D186" s="20" t="s">
        <v>466</v>
      </c>
      <c r="E186" s="70" t="s">
        <v>473</v>
      </c>
      <c r="F186" s="19"/>
    </row>
    <row r="187" spans="1:6" s="20" customFormat="1" x14ac:dyDescent="0.25">
      <c r="A187" s="19"/>
      <c r="B187" s="20" t="s">
        <v>623</v>
      </c>
      <c r="C187" s="70" t="s">
        <v>382</v>
      </c>
      <c r="D187" s="20" t="s">
        <v>705</v>
      </c>
      <c r="E187" s="70" t="s">
        <v>564</v>
      </c>
      <c r="F187" s="19"/>
    </row>
    <row r="188" spans="1:6" s="20" customFormat="1" ht="51" x14ac:dyDescent="0.25">
      <c r="A188" s="19"/>
      <c r="B188" s="20" t="s">
        <v>624</v>
      </c>
      <c r="C188" s="70" t="s">
        <v>383</v>
      </c>
      <c r="D188" s="20" t="s">
        <v>706</v>
      </c>
      <c r="E188" s="70" t="s">
        <v>565</v>
      </c>
      <c r="F188" s="19"/>
    </row>
    <row r="189" spans="1:6" s="20" customFormat="1" ht="25.5" x14ac:dyDescent="0.25">
      <c r="A189" s="19"/>
      <c r="B189" s="20" t="s">
        <v>625</v>
      </c>
      <c r="C189" s="70" t="s">
        <v>384</v>
      </c>
      <c r="D189" s="20" t="s">
        <v>707</v>
      </c>
      <c r="E189" s="70" t="s">
        <v>566</v>
      </c>
      <c r="F189" s="19"/>
    </row>
    <row r="190" spans="1:6" s="20" customFormat="1" x14ac:dyDescent="0.25">
      <c r="A190" s="19"/>
      <c r="B190" s="20" t="s">
        <v>626</v>
      </c>
      <c r="C190" s="70" t="s">
        <v>385</v>
      </c>
      <c r="D190" s="20" t="s">
        <v>708</v>
      </c>
      <c r="E190" s="70" t="s">
        <v>474</v>
      </c>
      <c r="F190" s="19"/>
    </row>
    <row r="191" spans="1:6" s="20" customFormat="1" ht="25.5" x14ac:dyDescent="0.25">
      <c r="A191" s="19"/>
      <c r="B191" s="20" t="s">
        <v>627</v>
      </c>
      <c r="C191" s="70" t="s">
        <v>386</v>
      </c>
      <c r="D191" s="20" t="s">
        <v>467</v>
      </c>
      <c r="E191" s="70" t="s">
        <v>567</v>
      </c>
      <c r="F191" s="19"/>
    </row>
    <row r="192" spans="1:6" s="20" customFormat="1" x14ac:dyDescent="0.25">
      <c r="A192" s="19"/>
      <c r="B192" s="20" t="s">
        <v>628</v>
      </c>
      <c r="C192" s="70" t="s">
        <v>387</v>
      </c>
      <c r="D192" s="20" t="s">
        <v>709</v>
      </c>
      <c r="E192" s="70" t="s">
        <v>568</v>
      </c>
      <c r="F192" s="19"/>
    </row>
    <row r="193" spans="1:6" s="20" customFormat="1" ht="25.5" x14ac:dyDescent="0.25">
      <c r="A193" s="19"/>
      <c r="B193" s="20" t="s">
        <v>629</v>
      </c>
      <c r="C193" s="70" t="s">
        <v>388</v>
      </c>
      <c r="D193" s="20" t="s">
        <v>468</v>
      </c>
      <c r="E193" s="70" t="s">
        <v>475</v>
      </c>
      <c r="F193" s="19"/>
    </row>
    <row r="194" spans="1:6" s="20" customFormat="1" ht="25.5" x14ac:dyDescent="0.25">
      <c r="A194" s="19"/>
      <c r="B194" s="20" t="s">
        <v>630</v>
      </c>
      <c r="C194" s="70" t="s">
        <v>389</v>
      </c>
      <c r="D194" s="20" t="s">
        <v>469</v>
      </c>
      <c r="E194" s="70" t="s">
        <v>569</v>
      </c>
      <c r="F194" s="19"/>
    </row>
    <row r="195" spans="1:6" s="20" customFormat="1" ht="38.25" x14ac:dyDescent="0.25">
      <c r="A195" s="19"/>
      <c r="B195" s="20" t="s">
        <v>631</v>
      </c>
      <c r="C195" s="70" t="s">
        <v>390</v>
      </c>
      <c r="D195" s="20" t="s">
        <v>470</v>
      </c>
      <c r="E195" s="70" t="s">
        <v>570</v>
      </c>
      <c r="F195" s="19"/>
    </row>
    <row r="196" spans="1:6" s="20" customFormat="1" ht="25.5" x14ac:dyDescent="0.25">
      <c r="A196" s="19"/>
      <c r="B196" s="20" t="s">
        <v>632</v>
      </c>
      <c r="C196" s="70" t="s">
        <v>391</v>
      </c>
      <c r="D196" s="20" t="s">
        <v>479</v>
      </c>
      <c r="E196" s="70" t="s">
        <v>571</v>
      </c>
      <c r="F196" s="19"/>
    </row>
    <row r="197" spans="1:6" s="20" customFormat="1" ht="25.5" x14ac:dyDescent="0.25">
      <c r="A197" s="19"/>
      <c r="B197" s="20" t="s">
        <v>633</v>
      </c>
      <c r="C197" s="70" t="s">
        <v>392</v>
      </c>
      <c r="D197" s="20" t="s">
        <v>480</v>
      </c>
      <c r="E197" s="70" t="s">
        <v>572</v>
      </c>
      <c r="F197" s="19"/>
    </row>
    <row r="198" spans="1:6" s="20" customFormat="1" ht="25.5" x14ac:dyDescent="0.25">
      <c r="A198" s="19"/>
      <c r="B198" s="20" t="s">
        <v>634</v>
      </c>
      <c r="C198" s="70" t="s">
        <v>393</v>
      </c>
      <c r="D198" s="20" t="s">
        <v>481</v>
      </c>
      <c r="E198" s="70" t="s">
        <v>573</v>
      </c>
      <c r="F198" s="19"/>
    </row>
    <row r="199" spans="1:6" s="20" customFormat="1" ht="25.5" x14ac:dyDescent="0.25">
      <c r="A199" s="19"/>
      <c r="B199" s="20" t="s">
        <v>635</v>
      </c>
      <c r="C199" s="70" t="s">
        <v>394</v>
      </c>
      <c r="D199" s="20" t="s">
        <v>482</v>
      </c>
      <c r="E199" s="70" t="s">
        <v>476</v>
      </c>
      <c r="F199" s="19"/>
    </row>
    <row r="200" spans="1:6" s="20" customFormat="1" ht="25.5" x14ac:dyDescent="0.25">
      <c r="A200" s="19"/>
      <c r="B200" s="20" t="s">
        <v>636</v>
      </c>
      <c r="C200" s="70" t="s">
        <v>395</v>
      </c>
      <c r="D200" s="20" t="s">
        <v>483</v>
      </c>
      <c r="E200" s="70" t="s">
        <v>574</v>
      </c>
      <c r="F200" s="19"/>
    </row>
    <row r="201" spans="1:6" s="20" customFormat="1" ht="38.25" x14ac:dyDescent="0.25">
      <c r="A201" s="19"/>
      <c r="B201" s="20" t="s">
        <v>637</v>
      </c>
      <c r="C201" s="70" t="s">
        <v>396</v>
      </c>
      <c r="D201" s="20" t="s">
        <v>710</v>
      </c>
      <c r="E201" s="70" t="s">
        <v>575</v>
      </c>
      <c r="F201" s="19"/>
    </row>
    <row r="202" spans="1:6" s="20" customFormat="1" ht="38.25" x14ac:dyDescent="0.25">
      <c r="A202" s="19"/>
      <c r="B202" s="20" t="s">
        <v>638</v>
      </c>
      <c r="C202" s="70" t="s">
        <v>397</v>
      </c>
      <c r="D202" s="20" t="s">
        <v>711</v>
      </c>
      <c r="E202" s="70" t="s">
        <v>576</v>
      </c>
      <c r="F202" s="19"/>
    </row>
    <row r="203" spans="1:6" s="20" customFormat="1" x14ac:dyDescent="0.25">
      <c r="A203" s="19"/>
      <c r="B203" s="20" t="s">
        <v>639</v>
      </c>
      <c r="C203" s="70" t="s">
        <v>398</v>
      </c>
      <c r="D203" s="20" t="s">
        <v>484</v>
      </c>
      <c r="E203" s="70" t="s">
        <v>577</v>
      </c>
      <c r="F203" s="19"/>
    </row>
    <row r="204" spans="1:6" s="20" customFormat="1" ht="25.5" x14ac:dyDescent="0.25">
      <c r="A204" s="19"/>
      <c r="B204" s="20" t="s">
        <v>640</v>
      </c>
      <c r="C204" s="70" t="s">
        <v>399</v>
      </c>
      <c r="D204" s="20" t="s">
        <v>485</v>
      </c>
      <c r="E204" s="70" t="s">
        <v>578</v>
      </c>
      <c r="F204" s="19"/>
    </row>
    <row r="205" spans="1:6" s="20" customFormat="1" ht="25.5" x14ac:dyDescent="0.25">
      <c r="A205" s="19"/>
      <c r="B205" s="20" t="s">
        <v>641</v>
      </c>
      <c r="C205" s="70" t="s">
        <v>400</v>
      </c>
      <c r="D205" s="20" t="s">
        <v>486</v>
      </c>
      <c r="E205" s="70" t="s">
        <v>477</v>
      </c>
      <c r="F205" s="19"/>
    </row>
    <row r="206" spans="1:6" s="20" customFormat="1" x14ac:dyDescent="0.25">
      <c r="A206" s="19"/>
      <c r="B206" s="20" t="s">
        <v>642</v>
      </c>
      <c r="C206" s="70" t="s">
        <v>401</v>
      </c>
      <c r="D206" s="20" t="s">
        <v>487</v>
      </c>
      <c r="E206" s="70" t="s">
        <v>478</v>
      </c>
      <c r="F206" s="19"/>
    </row>
    <row r="207" spans="1:6" s="20" customFormat="1" ht="25.5" x14ac:dyDescent="0.25">
      <c r="A207" s="19"/>
      <c r="B207" s="20" t="s">
        <v>643</v>
      </c>
      <c r="C207" s="70" t="s">
        <v>402</v>
      </c>
      <c r="D207" s="20" t="s">
        <v>488</v>
      </c>
      <c r="E207" s="70" t="s">
        <v>579</v>
      </c>
      <c r="F207" s="19"/>
    </row>
    <row r="208" spans="1:6" s="20" customFormat="1" ht="25.5" x14ac:dyDescent="0.25">
      <c r="A208" s="19"/>
      <c r="B208" s="20" t="s">
        <v>644</v>
      </c>
      <c r="C208" s="70" t="s">
        <v>403</v>
      </c>
      <c r="D208" s="20" t="s">
        <v>712</v>
      </c>
      <c r="E208" s="70" t="s">
        <v>580</v>
      </c>
      <c r="F208" s="19"/>
    </row>
    <row r="209" spans="1:6" s="20" customFormat="1" ht="25.5" x14ac:dyDescent="0.25">
      <c r="A209" s="19"/>
      <c r="B209" s="20" t="s">
        <v>645</v>
      </c>
      <c r="C209" s="70" t="s">
        <v>404</v>
      </c>
      <c r="D209" s="20" t="s">
        <v>489</v>
      </c>
      <c r="E209" s="70" t="s">
        <v>581</v>
      </c>
      <c r="F209" s="19"/>
    </row>
    <row r="210" spans="1:6" s="20" customFormat="1" ht="38.25" x14ac:dyDescent="0.25">
      <c r="A210" s="19"/>
      <c r="B210" s="20" t="s">
        <v>646</v>
      </c>
      <c r="C210" s="70" t="s">
        <v>405</v>
      </c>
      <c r="D210" s="20" t="s">
        <v>490</v>
      </c>
      <c r="E210" s="70" t="s">
        <v>582</v>
      </c>
      <c r="F210" s="19"/>
    </row>
    <row r="211" spans="1:6" s="20" customFormat="1" x14ac:dyDescent="0.25">
      <c r="A211" s="19"/>
      <c r="B211" s="20" t="s">
        <v>647</v>
      </c>
      <c r="C211" s="70" t="s">
        <v>406</v>
      </c>
      <c r="D211" s="20" t="s">
        <v>491</v>
      </c>
      <c r="E211" s="70" t="s">
        <v>583</v>
      </c>
      <c r="F211" s="19"/>
    </row>
    <row r="212" spans="1:6" s="20" customFormat="1" ht="25.5" x14ac:dyDescent="0.25">
      <c r="A212" s="19"/>
      <c r="B212" s="20" t="s">
        <v>648</v>
      </c>
      <c r="C212" s="70" t="s">
        <v>407</v>
      </c>
      <c r="D212" s="20" t="s">
        <v>492</v>
      </c>
      <c r="E212" s="70" t="s">
        <v>584</v>
      </c>
      <c r="F212" s="19"/>
    </row>
    <row r="213" spans="1:6" s="20" customFormat="1" ht="25.5" x14ac:dyDescent="0.25">
      <c r="A213" s="19"/>
      <c r="B213" s="20" t="s">
        <v>649</v>
      </c>
      <c r="C213" s="70" t="s">
        <v>408</v>
      </c>
      <c r="D213" s="20" t="s">
        <v>493</v>
      </c>
      <c r="E213" s="70" t="s">
        <v>585</v>
      </c>
      <c r="F213" s="19"/>
    </row>
    <row r="214" spans="1:6" s="20" customFormat="1" ht="38.25" x14ac:dyDescent="0.25">
      <c r="A214" s="19"/>
      <c r="B214" s="20" t="s">
        <v>650</v>
      </c>
      <c r="C214" s="70" t="s">
        <v>672</v>
      </c>
      <c r="D214" s="20" t="s">
        <v>494</v>
      </c>
      <c r="E214" s="70" t="s">
        <v>586</v>
      </c>
      <c r="F214" s="19"/>
    </row>
    <row r="215" spans="1:6" s="20" customFormat="1" ht="25.5" x14ac:dyDescent="0.25">
      <c r="A215" s="19"/>
      <c r="B215" s="20" t="s">
        <v>651</v>
      </c>
      <c r="C215" s="70" t="s">
        <v>409</v>
      </c>
      <c r="D215" s="20" t="s">
        <v>713</v>
      </c>
      <c r="E215" s="70" t="s">
        <v>587</v>
      </c>
      <c r="F215" s="19"/>
    </row>
    <row r="216" spans="1:6" s="20" customFormat="1" ht="25.5" x14ac:dyDescent="0.25">
      <c r="A216" s="19"/>
      <c r="B216" s="20" t="s">
        <v>652</v>
      </c>
      <c r="C216" s="70" t="s">
        <v>410</v>
      </c>
      <c r="D216" s="20" t="s">
        <v>495</v>
      </c>
      <c r="E216" s="70" t="s">
        <v>588</v>
      </c>
      <c r="F216" s="19"/>
    </row>
    <row r="217" spans="1:6" s="20" customFormat="1" x14ac:dyDescent="0.25">
      <c r="A217" s="19"/>
      <c r="B217" s="20" t="s">
        <v>653</v>
      </c>
      <c r="C217" s="70" t="s">
        <v>411</v>
      </c>
      <c r="D217" s="20" t="s">
        <v>496</v>
      </c>
      <c r="E217" s="70" t="s">
        <v>589</v>
      </c>
      <c r="F217" s="19"/>
    </row>
    <row r="218" spans="1:6" s="20" customFormat="1" ht="25.5" x14ac:dyDescent="0.25">
      <c r="A218" s="19"/>
      <c r="B218" s="20" t="s">
        <v>654</v>
      </c>
      <c r="C218" s="70" t="s">
        <v>412</v>
      </c>
      <c r="D218" s="20" t="s">
        <v>497</v>
      </c>
      <c r="E218" s="70" t="s">
        <v>590</v>
      </c>
      <c r="F218" s="19"/>
    </row>
    <row r="219" spans="1:6" s="20" customFormat="1" x14ac:dyDescent="0.25">
      <c r="A219" s="19"/>
      <c r="B219" s="20" t="s">
        <v>655</v>
      </c>
      <c r="C219" s="70" t="s">
        <v>413</v>
      </c>
      <c r="D219" s="20" t="s">
        <v>498</v>
      </c>
      <c r="E219" s="70" t="s">
        <v>512</v>
      </c>
      <c r="F219" s="19"/>
    </row>
    <row r="220" spans="1:6" s="20" customFormat="1" ht="25.5" x14ac:dyDescent="0.25">
      <c r="A220" s="19"/>
      <c r="B220" s="20" t="s">
        <v>656</v>
      </c>
      <c r="C220" s="70" t="s">
        <v>414</v>
      </c>
      <c r="D220" s="20" t="s">
        <v>499</v>
      </c>
      <c r="E220" s="70" t="s">
        <v>134</v>
      </c>
      <c r="F220" s="19"/>
    </row>
    <row r="221" spans="1:6" s="20" customFormat="1" ht="25.5" x14ac:dyDescent="0.25">
      <c r="A221" s="19"/>
      <c r="B221" s="20" t="s">
        <v>657</v>
      </c>
      <c r="C221" s="70" t="s">
        <v>415</v>
      </c>
      <c r="D221" s="20" t="s">
        <v>714</v>
      </c>
      <c r="E221" s="70" t="s">
        <v>591</v>
      </c>
      <c r="F221" s="19"/>
    </row>
    <row r="222" spans="1:6" s="20" customFormat="1" ht="25.5" x14ac:dyDescent="0.25">
      <c r="A222" s="19"/>
      <c r="B222" s="20" t="s">
        <v>658</v>
      </c>
      <c r="C222" s="70" t="s">
        <v>416</v>
      </c>
      <c r="D222" s="20" t="s">
        <v>500</v>
      </c>
      <c r="E222" s="70" t="s">
        <v>592</v>
      </c>
      <c r="F222" s="19"/>
    </row>
    <row r="223" spans="1:6" s="20" customFormat="1" ht="25.5" x14ac:dyDescent="0.25">
      <c r="A223" s="19"/>
      <c r="B223" s="20" t="s">
        <v>659</v>
      </c>
      <c r="C223" s="70" t="s">
        <v>417</v>
      </c>
      <c r="D223" s="20" t="s">
        <v>501</v>
      </c>
      <c r="E223" s="70" t="s">
        <v>593</v>
      </c>
      <c r="F223" s="19"/>
    </row>
    <row r="224" spans="1:6" s="20" customFormat="1" ht="25.5" x14ac:dyDescent="0.25">
      <c r="A224" s="19"/>
      <c r="B224" s="20" t="s">
        <v>660</v>
      </c>
      <c r="C224" s="70" t="s">
        <v>418</v>
      </c>
      <c r="D224" s="20" t="s">
        <v>502</v>
      </c>
      <c r="E224" s="70" t="s">
        <v>594</v>
      </c>
      <c r="F224" s="19"/>
    </row>
    <row r="225" spans="1:6" s="20" customFormat="1" ht="25.5" x14ac:dyDescent="0.25">
      <c r="A225" s="19"/>
      <c r="B225" s="20" t="s">
        <v>661</v>
      </c>
      <c r="C225" s="70" t="s">
        <v>419</v>
      </c>
      <c r="D225" s="20" t="s">
        <v>503</v>
      </c>
      <c r="E225" s="70" t="s">
        <v>595</v>
      </c>
      <c r="F225" s="19"/>
    </row>
    <row r="226" spans="1:6" s="20" customFormat="1" ht="25.5" x14ac:dyDescent="0.25">
      <c r="A226" s="19"/>
      <c r="B226" s="20" t="s">
        <v>662</v>
      </c>
      <c r="C226" s="70" t="s">
        <v>420</v>
      </c>
      <c r="D226" s="20" t="s">
        <v>504</v>
      </c>
      <c r="E226" s="70" t="s">
        <v>596</v>
      </c>
      <c r="F226" s="19"/>
    </row>
    <row r="227" spans="1:6" s="20" customFormat="1" x14ac:dyDescent="0.25">
      <c r="A227" s="19"/>
      <c r="B227" s="20" t="s">
        <v>663</v>
      </c>
      <c r="C227" s="70" t="s">
        <v>421</v>
      </c>
      <c r="D227" s="20" t="s">
        <v>505</v>
      </c>
      <c r="E227" s="70" t="s">
        <v>513</v>
      </c>
      <c r="F227" s="19"/>
    </row>
    <row r="228" spans="1:6" s="20" customFormat="1" ht="38.25" x14ac:dyDescent="0.25">
      <c r="A228" s="19"/>
      <c r="B228" s="20" t="s">
        <v>664</v>
      </c>
      <c r="C228" s="70" t="s">
        <v>422</v>
      </c>
      <c r="D228" s="20" t="s">
        <v>715</v>
      </c>
      <c r="E228" s="70" t="s">
        <v>597</v>
      </c>
      <c r="F228" s="19"/>
    </row>
    <row r="229" spans="1:6" s="20" customFormat="1" ht="25.5" x14ac:dyDescent="0.25">
      <c r="A229" s="19"/>
      <c r="B229" s="20" t="s">
        <v>665</v>
      </c>
      <c r="C229" s="70" t="s">
        <v>423</v>
      </c>
      <c r="D229" s="20" t="s">
        <v>716</v>
      </c>
      <c r="E229" s="70" t="s">
        <v>598</v>
      </c>
      <c r="F229" s="19"/>
    </row>
    <row r="230" spans="1:6" s="20" customFormat="1" ht="12.75" customHeight="1" x14ac:dyDescent="0.25">
      <c r="A230" s="19"/>
      <c r="B230" s="20" t="s">
        <v>666</v>
      </c>
      <c r="C230" s="70" t="s">
        <v>424</v>
      </c>
      <c r="D230" s="20" t="s">
        <v>506</v>
      </c>
      <c r="E230" s="70" t="s">
        <v>599</v>
      </c>
      <c r="F230" s="19"/>
    </row>
    <row r="231" spans="1:6" s="20" customFormat="1" ht="76.5" x14ac:dyDescent="0.25">
      <c r="A231" s="19"/>
      <c r="B231" s="20" t="s">
        <v>667</v>
      </c>
      <c r="C231" s="70" t="s">
        <v>425</v>
      </c>
      <c r="D231" s="20" t="s">
        <v>507</v>
      </c>
      <c r="E231" s="70" t="s">
        <v>600</v>
      </c>
      <c r="F231" s="19"/>
    </row>
    <row r="232" spans="1:6" s="20" customFormat="1" ht="25.5" x14ac:dyDescent="0.25">
      <c r="A232" s="19"/>
      <c r="B232" s="20" t="s">
        <v>668</v>
      </c>
      <c r="C232" s="70" t="s">
        <v>426</v>
      </c>
      <c r="D232" s="20" t="s">
        <v>508</v>
      </c>
      <c r="E232" s="70" t="s">
        <v>601</v>
      </c>
      <c r="F232" s="19"/>
    </row>
    <row r="233" spans="1:6" s="20" customFormat="1" ht="38.25" x14ac:dyDescent="0.25">
      <c r="A233" s="19"/>
      <c r="B233" s="20" t="s">
        <v>669</v>
      </c>
      <c r="C233" s="70" t="s">
        <v>427</v>
      </c>
      <c r="D233" s="20" t="s">
        <v>509</v>
      </c>
      <c r="E233" s="70" t="s">
        <v>602</v>
      </c>
      <c r="F233" s="19"/>
    </row>
    <row r="234" spans="1:6" s="20" customFormat="1" ht="25.5" x14ac:dyDescent="0.25">
      <c r="A234" s="19"/>
      <c r="B234" s="20" t="s">
        <v>670</v>
      </c>
      <c r="C234" s="70" t="s">
        <v>428</v>
      </c>
      <c r="D234" s="20" t="s">
        <v>510</v>
      </c>
      <c r="E234" s="70" t="s">
        <v>603</v>
      </c>
      <c r="F234" s="19"/>
    </row>
    <row r="235" spans="1:6" s="20" customFormat="1" ht="25.5" x14ac:dyDescent="0.25">
      <c r="A235" s="19"/>
      <c r="B235" s="20" t="s">
        <v>671</v>
      </c>
      <c r="C235" s="70" t="s">
        <v>429</v>
      </c>
      <c r="D235" s="20" t="s">
        <v>511</v>
      </c>
      <c r="E235" s="70" t="s">
        <v>604</v>
      </c>
      <c r="F235" s="19"/>
    </row>
    <row r="236" spans="1:6" x14ac:dyDescent="0.25">
      <c r="A236" s="16"/>
      <c r="B236" s="14"/>
      <c r="C236" s="19"/>
      <c r="D236" s="19"/>
      <c r="E236" s="19"/>
      <c r="F236" s="19"/>
    </row>
    <row r="237" spans="1:6" ht="25.5" x14ac:dyDescent="0.25">
      <c r="A237" s="14"/>
      <c r="B237" s="15" t="s">
        <v>45</v>
      </c>
      <c r="C237" s="20" t="s">
        <v>314</v>
      </c>
      <c r="D237" s="20" t="s">
        <v>611</v>
      </c>
      <c r="E237" s="20" t="s">
        <v>606</v>
      </c>
      <c r="F237" s="19"/>
    </row>
    <row r="238" spans="1:6" x14ac:dyDescent="0.2">
      <c r="A238" s="14"/>
      <c r="B238" s="15" t="s">
        <v>46</v>
      </c>
      <c r="C238" s="73" t="s">
        <v>315</v>
      </c>
      <c r="D238" s="20" t="s">
        <v>610</v>
      </c>
      <c r="E238" s="73" t="s">
        <v>605</v>
      </c>
      <c r="F238" s="19"/>
    </row>
    <row r="239" spans="1:6" x14ac:dyDescent="0.25">
      <c r="A239" s="14"/>
      <c r="B239" s="15" t="s">
        <v>47</v>
      </c>
      <c r="F239" s="19"/>
    </row>
    <row r="240" spans="1:6" x14ac:dyDescent="0.25">
      <c r="A240" s="14"/>
      <c r="B240" s="15" t="s">
        <v>48</v>
      </c>
      <c r="F240" s="19"/>
    </row>
    <row r="241" spans="1:6" x14ac:dyDescent="0.25">
      <c r="A241" s="14"/>
      <c r="B241" s="15" t="s">
        <v>56</v>
      </c>
      <c r="F241" s="14"/>
    </row>
    <row r="242" spans="1:6" x14ac:dyDescent="0.25">
      <c r="A242" s="14" t="s">
        <v>13</v>
      </c>
      <c r="B242" s="14"/>
      <c r="C242" s="14"/>
      <c r="D242" s="14"/>
      <c r="E242" s="14"/>
      <c r="F242" s="14"/>
    </row>
    <row r="243" spans="1:6" ht="25.5" x14ac:dyDescent="0.25">
      <c r="A243" s="14" t="s">
        <v>10</v>
      </c>
      <c r="B243" s="15" t="s">
        <v>49</v>
      </c>
      <c r="C243" s="20" t="s">
        <v>64</v>
      </c>
      <c r="D243" s="20" t="s">
        <v>65</v>
      </c>
      <c r="E243" s="20" t="s">
        <v>63</v>
      </c>
      <c r="F243" s="14"/>
    </row>
    <row r="244" spans="1:6" x14ac:dyDescent="0.25">
      <c r="A244" s="14"/>
      <c r="B244" s="21" t="s">
        <v>50</v>
      </c>
      <c r="C244" s="22" t="s">
        <v>717</v>
      </c>
      <c r="D244" s="22" t="s">
        <v>718</v>
      </c>
      <c r="E244" s="22" t="s">
        <v>719</v>
      </c>
      <c r="F244" s="14"/>
    </row>
    <row r="245" spans="1:6" x14ac:dyDescent="0.25">
      <c r="A245" s="16" t="s">
        <v>57</v>
      </c>
      <c r="B245" s="14"/>
      <c r="C245" s="19"/>
      <c r="D245" s="19"/>
      <c r="E245" s="19"/>
      <c r="F245" s="14"/>
    </row>
    <row r="246" spans="1:6" x14ac:dyDescent="0.25">
      <c r="A246" s="16"/>
      <c r="B246" s="15" t="s">
        <v>58</v>
      </c>
      <c r="C246" s="20" t="s">
        <v>317</v>
      </c>
      <c r="D246" s="20" t="s">
        <v>318</v>
      </c>
      <c r="E246" s="20" t="s">
        <v>319</v>
      </c>
      <c r="F246" s="14"/>
    </row>
    <row r="247" spans="1:6" x14ac:dyDescent="0.25">
      <c r="A247" s="16"/>
      <c r="B247" s="15" t="s">
        <v>59</v>
      </c>
      <c r="F247" s="14"/>
    </row>
    <row r="248" spans="1:6" x14ac:dyDescent="0.25">
      <c r="A248" s="16"/>
      <c r="B248" s="14"/>
      <c r="C248" s="19"/>
      <c r="D248" s="19"/>
      <c r="E248" s="19"/>
      <c r="F248" s="14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85A33B2A6CCB547A161950A270407E3" ma:contentTypeVersion="6" ma:contentTypeDescription="Ein neues Dokument erstellen." ma:contentTypeScope="" ma:versionID="30c8e58aff0c29f51bc0baaf72acff20">
  <xsd:schema xmlns:xsd="http://www.w3.org/2001/XMLSchema" xmlns:xs="http://www.w3.org/2001/XMLSchema" xmlns:p="http://schemas.microsoft.com/office/2006/metadata/properties" xmlns:ns1="http://schemas.microsoft.com/sharepoint/v3" xmlns:ns2="7454599f-d106-457b-8c57-c701db197486" targetNamespace="http://schemas.microsoft.com/office/2006/metadata/properties" ma:root="true" ma:fieldsID="6f9bf5ebc84e314b5d8bed6c82c25cb6" ns1:_="" ns2:_="">
    <xsd:import namespace="http://schemas.microsoft.com/sharepoint/v3"/>
    <xsd:import namespace="7454599f-d106-457b-8c57-c701db19748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itel_DE" minOccurs="0"/>
                <xsd:element ref="ns2:Titel_RM" minOccurs="0"/>
                <xsd:element ref="ns2:Titel_IT" minOccurs="0"/>
                <xsd:element ref="ns2:Kategorie" minOccurs="0"/>
                <xsd:element ref="ns2:Benutzerdefinierte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54599f-d106-457b-8c57-c701db197486" elementFormDefault="qualified">
    <xsd:import namespace="http://schemas.microsoft.com/office/2006/documentManagement/types"/>
    <xsd:import namespace="http://schemas.microsoft.com/office/infopath/2007/PartnerControls"/>
    <xsd:element name="Titel_DE" ma:index="10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1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2" nillable="true" ma:displayName="Titel_IT" ma:internalName="Titel_IT">
      <xsd:simpleType>
        <xsd:restriction base="dms:Text">
          <xsd:maxLength value="255"/>
        </xsd:restriction>
      </xsd:simpleType>
    </xsd:element>
    <xsd:element name="Kategorie" ma:index="13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4" nillable="true" ma:displayName="Benutzerdefinierte ID" ma:internalName="Benutzerdefinierte_x0020_ID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tegorie xmlns="7454599f-d106-457b-8c57-c701db197486">Aussenhandel</Kategorie>
    <Titel_IT xmlns="7454599f-d106-457b-8c57-c701db197486">Commercio estero dei Grigioni per gruppi di merci, 2016-2024</Titel_IT>
    <Benutzerdefinierte_x0020_ID xmlns="7454599f-d106-457b-8c57-c701db197486">1009</Benutzerdefinierte_x0020_ID>
    <PublishingExpirationDate xmlns="http://schemas.microsoft.com/sharepoint/v3" xsi:nil="true"/>
    <Titel_DE xmlns="7454599f-d106-457b-8c57-c701db197486">Aussenhandel Graubünden nach Warengruppen, 2016-2024</Titel_DE>
    <PublishingStartDate xmlns="http://schemas.microsoft.com/sharepoint/v3" xsi:nil="true"/>
    <Titel_RM xmlns="7454599f-d106-457b-8c57-c701db197486">Commerzi cun l'exteriur dal Grischun tenor gruppas da rauba, 2016-2024</Titel_RM>
  </documentManagement>
</p:properties>
</file>

<file path=customXml/itemProps1.xml><?xml version="1.0" encoding="utf-8"?>
<ds:datastoreItem xmlns:ds="http://schemas.openxmlformats.org/officeDocument/2006/customXml" ds:itemID="{4FD366C7-9959-4655-B6D4-1FC38950E3B7}"/>
</file>

<file path=customXml/itemProps2.xml><?xml version="1.0" encoding="utf-8"?>
<ds:datastoreItem xmlns:ds="http://schemas.openxmlformats.org/officeDocument/2006/customXml" ds:itemID="{81A63D84-30E0-478E-838D-798A48C5E250}"/>
</file>

<file path=customXml/itemProps3.xml><?xml version="1.0" encoding="utf-8"?>
<ds:datastoreItem xmlns:ds="http://schemas.openxmlformats.org/officeDocument/2006/customXml" ds:itemID="{1BF526DD-1686-4FB1-AF58-F290B4006F0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Exporte GR Warengruppen</vt:lpstr>
      <vt:lpstr>Importe GR Warengruppen</vt:lpstr>
      <vt:lpstr>Uebersetzungen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Aussenhandel Graubünden nach Warengruppen</dc:title>
  <dc:creator>Luzius.Stricker@awt.gr.ch</dc:creator>
  <cp:lastModifiedBy>Monstein Urs (AWT GR)</cp:lastModifiedBy>
  <dcterms:created xsi:type="dcterms:W3CDTF">2022-01-24T08:31:17Z</dcterms:created>
  <dcterms:modified xsi:type="dcterms:W3CDTF">2025-07-09T07:21:00Z</dcterms:modified>
  <cp:category>Aussenhandelsstatistik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2025-07-09T07:09:53Z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30048b94-cc43-4c49-9d7f-330b871a2d1a</vt:lpwstr>
  </property>
  <property fmtid="{D5CDD505-2E9C-101B-9397-08002B2CF9AE}" pid="8" name="MSIP_Label_fbfc5642-2d7f-4e68-9674-ab3e35a89b06_ContentBits">
    <vt:lpwstr>0</vt:lpwstr>
  </property>
  <property fmtid="{D5CDD505-2E9C-101B-9397-08002B2CF9AE}" pid="9" name="ContentTypeId">
    <vt:lpwstr>0x010100A85A33B2A6CCB547A161950A270407E3</vt:lpwstr>
  </property>
</Properties>
</file>